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er Öberg\Desktop\TempArbete\Kursen\Economy Documents 7 Financing\"/>
    </mc:Choice>
  </mc:AlternateContent>
  <xr:revisionPtr revIDLastSave="0" documentId="8_{19D3BE29-F29F-4697-BF72-E677691529D4}" xr6:coauthVersionLast="45" xr6:coauthVersionMax="45" xr10:uidLastSave="{00000000-0000-0000-0000-000000000000}"/>
  <bookViews>
    <workbookView xWindow="-110" yWindow="-110" windowWidth="19420" windowHeight="10420" tabRatio="857"/>
  </bookViews>
  <sheets>
    <sheet name="The Project" sheetId="26" r:id="rId1"/>
    <sheet name="P_L Summary" sheetId="1" r:id="rId2"/>
    <sheet name="P_L 2005_06" sheetId="2" r:id="rId3"/>
    <sheet name="P_L 2006_07" sheetId="3" r:id="rId4"/>
    <sheet name="P_L 2007_08" sheetId="4" r:id="rId5"/>
    <sheet name="P_L 2008_09" sheetId="5" r:id="rId6"/>
    <sheet name="P_L 2009_10" sheetId="6" r:id="rId7"/>
    <sheet name="P_L" sheetId="7" r:id="rId8"/>
    <sheet name="P_L Workings" sheetId="8" r:id="rId9"/>
    <sheet name="P_L Standard" sheetId="9" r:id="rId10"/>
    <sheet name="P_L Variables" sheetId="10" r:id="rId11"/>
    <sheet name="Cashflow 2005_06" sheetId="11" r:id="rId12"/>
    <sheet name="Cashflow 2006_07" sheetId="12" r:id="rId13"/>
    <sheet name="Cashflow 2007_08" sheetId="13" r:id="rId14"/>
    <sheet name="Cashflow 2008_09" sheetId="14" r:id="rId15"/>
    <sheet name="Cashflow 2009_10" sheetId="15" r:id="rId16"/>
    <sheet name="Cashflow Workings" sheetId="16" r:id="rId17"/>
    <sheet name="Bal Sheet Summary" sheetId="17" r:id="rId18"/>
    <sheet name="Bal Sheet 2005_06" sheetId="18" r:id="rId19"/>
    <sheet name="Bal Sheet 2006_07" sheetId="19" r:id="rId20"/>
    <sheet name="Bal Sheet 2007_08" sheetId="20" r:id="rId21"/>
    <sheet name="Bal Sheet 2008_09" sheetId="21" r:id="rId22"/>
    <sheet name="Bal Sheet 2009_10" sheetId="22" r:id="rId23"/>
    <sheet name="Bal Sheet Workings" sheetId="23" r:id="rId24"/>
    <sheet name="Loan _Int_" sheetId="24" r:id="rId25"/>
    <sheet name="Loan _Int_ _2_" sheetId="25" r:id="rId26"/>
  </sheets>
  <definedNames>
    <definedName name="_xlnm._FilterDatabase" localSheetId="24" hidden="1">'Loan _Int_'!$K$24:$K$74</definedName>
    <definedName name="_xlnm._FilterDatabase" localSheetId="25" hidden="1">'Loan _Int_ _2_'!$K$24:$K$74</definedName>
    <definedName name="_xlnm.Print_Area" localSheetId="23">'Bal Sheet Workings'!$A$1:$Q$39</definedName>
    <definedName name="_xlnm.Print_Area" localSheetId="16">'Cashflow Workings'!$B$58:$K$66</definedName>
    <definedName name="_xlnm.Print_Area" localSheetId="24">'Loan _Int_'!$A$1:$O$77</definedName>
    <definedName name="_xlnm.Print_Area" localSheetId="25">'Loan _Int_ _2_'!$A$1:$O$77</definedName>
    <definedName name="_xlnm.Print_Titles" localSheetId="24">'Loan _Int_'!$1:$6</definedName>
    <definedName name="_xlnm.Print_Titles" localSheetId="25">'Loan _Int_ _2_'!$1:$6</definedName>
    <definedName name="zClient_Name">#REF!</definedName>
    <definedName name="zClient_Name_27">'Loan _Int_'!$C$2</definedName>
    <definedName name="zClient_Name_28">'Loan _Int_ _2_'!$C$2</definedName>
    <definedName name="zClient_Ref">#REF!</definedName>
    <definedName name="zClient_Ref_27">'Loan _Int_'!$K$3</definedName>
    <definedName name="zClient_Ref_28">'Loan _Int_ _2_'!$K$3</definedName>
    <definedName name="zEnd_Date">#REF!</definedName>
    <definedName name="zEnd_Date_27">'Loan _Int_'!$C$4</definedName>
    <definedName name="zEnd_Date_28">'Loan _Int_ _2_'!$C$4</definedName>
    <definedName name="zPmt_No">#REF!</definedName>
    <definedName name="zPmt_No_27">'Loan _Int_'!$B:$B</definedName>
    <definedName name="zPmt_No_28">'Loan _Int_ _2_'!$B:$B</definedName>
    <definedName name="zPrepared_By">#REF!</definedName>
    <definedName name="zPrepared_By_27">'Loan _Int_'!$K$4</definedName>
    <definedName name="zPrepared_By_28">'Loan _Int_ _2_'!$K$4</definedName>
    <definedName name="zReviewed_by">#REF!</definedName>
    <definedName name="zReviewed_by_27">'Loan _Int_'!$K$5</definedName>
    <definedName name="zReviewed_by_28">'Loan _Int_ _2_'!$K$5</definedName>
    <definedName name="zReviewed_Label">#REF!</definedName>
    <definedName name="zReviewed_Label_27">'Loan _Int_'!$J$5</definedName>
    <definedName name="zReviewed_Label_28">'Loan _Int_ _2_'!$J$5</definedName>
    <definedName name="zSch_Ref">#REF!</definedName>
    <definedName name="zSch_Ref_27">'Loan _Int_'!$K$2</definedName>
    <definedName name="zSch_Ref_28">'Loan _Int_ _2_'!$K$2</definedName>
    <definedName name="zStart_Date">#REF!</definedName>
    <definedName name="zStart_Date_27">'Loan _Int_'!$C$3</definedName>
    <definedName name="zStart_Date_28">'Loan _Int_ _2_'!$C$3</definedName>
    <definedName name="zSubject">#REF!</definedName>
    <definedName name="zSubject_27">'Loan _Int_'!$C$5</definedName>
    <definedName name="zSubject_28">'Loan _Int_ _2_'!$C$5</definedName>
    <definedName name="zTotal_Payments">#REF!</definedName>
    <definedName name="zTotal_Payments_27">'Loan _Int_'!$E$12</definedName>
    <definedName name="zTotal_Payments_28">'Loan _Int_ _2_'!$E$12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18" l="1"/>
  <c r="C12" i="18"/>
  <c r="D8" i="18"/>
  <c r="C15" i="18"/>
  <c r="D15" i="18"/>
  <c r="C16" i="18"/>
  <c r="C33" i="18"/>
  <c r="D33" i="18"/>
  <c r="E33" i="18"/>
  <c r="D8" i="19"/>
  <c r="F9" i="19"/>
  <c r="C10" i="19"/>
  <c r="C12" i="19"/>
  <c r="D10" i="19"/>
  <c r="D12" i="19"/>
  <c r="E8" i="19"/>
  <c r="C15" i="19"/>
  <c r="D15" i="19"/>
  <c r="E15" i="19"/>
  <c r="E18" i="19"/>
  <c r="C16" i="19"/>
  <c r="C23" i="19"/>
  <c r="D23" i="19"/>
  <c r="E23" i="19"/>
  <c r="C33" i="19"/>
  <c r="D33" i="19"/>
  <c r="C9" i="20"/>
  <c r="C10" i="20"/>
  <c r="C12" i="20"/>
  <c r="D8" i="20"/>
  <c r="C15" i="20"/>
  <c r="D15" i="20"/>
  <c r="C16" i="20"/>
  <c r="D16" i="20"/>
  <c r="E16" i="20"/>
  <c r="F16" i="20"/>
  <c r="G16" i="20"/>
  <c r="H16" i="20"/>
  <c r="I16" i="20"/>
  <c r="J16" i="20"/>
  <c r="K16" i="20"/>
  <c r="L16" i="20"/>
  <c r="M16" i="20"/>
  <c r="N16" i="20"/>
  <c r="O16" i="20"/>
  <c r="P16" i="20"/>
  <c r="Q16" i="20"/>
  <c r="C23" i="20"/>
  <c r="D23" i="20"/>
  <c r="E23" i="20"/>
  <c r="C33" i="20"/>
  <c r="D33" i="20"/>
  <c r="E33" i="20"/>
  <c r="C10" i="21"/>
  <c r="C12" i="21"/>
  <c r="D8" i="21"/>
  <c r="C15" i="21"/>
  <c r="C16" i="21"/>
  <c r="D16" i="21"/>
  <c r="E16" i="21"/>
  <c r="F16" i="21"/>
  <c r="G16" i="21"/>
  <c r="H16" i="21"/>
  <c r="I16" i="21"/>
  <c r="J16" i="21"/>
  <c r="K16" i="21"/>
  <c r="L16" i="21"/>
  <c r="M16" i="21"/>
  <c r="N16" i="21"/>
  <c r="O16" i="21"/>
  <c r="P16" i="21"/>
  <c r="Q16" i="21"/>
  <c r="R16" i="21"/>
  <c r="S16" i="21"/>
  <c r="T16" i="21"/>
  <c r="U16" i="21"/>
  <c r="V16" i="21"/>
  <c r="W16" i="21"/>
  <c r="X16" i="21"/>
  <c r="Y16" i="21"/>
  <c r="Z16" i="21"/>
  <c r="AA16" i="21"/>
  <c r="AB16" i="21"/>
  <c r="AC16" i="21"/>
  <c r="C23" i="21"/>
  <c r="D23" i="21"/>
  <c r="E23" i="21"/>
  <c r="C33" i="21"/>
  <c r="D33" i="21"/>
  <c r="E33" i="21"/>
  <c r="E37" i="21"/>
  <c r="F33" i="21"/>
  <c r="C10" i="22"/>
  <c r="C12" i="22"/>
  <c r="D8" i="22"/>
  <c r="C15" i="22"/>
  <c r="D15" i="22"/>
  <c r="C16" i="22"/>
  <c r="D16" i="22"/>
  <c r="E16" i="22"/>
  <c r="F16" i="22"/>
  <c r="G16" i="22"/>
  <c r="H16" i="22"/>
  <c r="I16" i="22"/>
  <c r="J16" i="22"/>
  <c r="K16" i="22"/>
  <c r="L16" i="22"/>
  <c r="M16" i="22"/>
  <c r="N16" i="22"/>
  <c r="O16" i="22"/>
  <c r="P16" i="22"/>
  <c r="Q16" i="22"/>
  <c r="R16" i="22"/>
  <c r="S16" i="22"/>
  <c r="T16" i="22"/>
  <c r="U16" i="22"/>
  <c r="V16" i="22"/>
  <c r="W16" i="22"/>
  <c r="X16" i="22"/>
  <c r="Y16" i="22"/>
  <c r="Z16" i="22"/>
  <c r="AA16" i="22"/>
  <c r="AB16" i="22"/>
  <c r="AC16" i="22"/>
  <c r="AD16" i="22"/>
  <c r="AE16" i="22"/>
  <c r="AF16" i="22"/>
  <c r="AG16" i="22"/>
  <c r="AH16" i="22"/>
  <c r="AI16" i="22"/>
  <c r="AJ16" i="22"/>
  <c r="AK16" i="22"/>
  <c r="AL16" i="22"/>
  <c r="AM16" i="22"/>
  <c r="AN16" i="22"/>
  <c r="AO16" i="22"/>
  <c r="C23" i="22"/>
  <c r="D23" i="22"/>
  <c r="E23" i="22"/>
  <c r="C33" i="22"/>
  <c r="C9" i="17"/>
  <c r="D9" i="17"/>
  <c r="E9" i="17"/>
  <c r="F9" i="17"/>
  <c r="G9" i="17"/>
  <c r="C23" i="17"/>
  <c r="C33" i="17"/>
  <c r="C37" i="17"/>
  <c r="D33" i="17"/>
  <c r="C10" i="23"/>
  <c r="C15" i="23"/>
  <c r="D15" i="23"/>
  <c r="E15" i="23"/>
  <c r="C16" i="23"/>
  <c r="D16" i="23"/>
  <c r="E16" i="23"/>
  <c r="F16" i="23"/>
  <c r="C23" i="23"/>
  <c r="E23" i="23"/>
  <c r="E23" i="18"/>
  <c r="C33" i="23"/>
  <c r="E33" i="23"/>
  <c r="F33" i="23"/>
  <c r="G33" i="23"/>
  <c r="C8" i="11"/>
  <c r="G8" i="11"/>
  <c r="C13" i="11"/>
  <c r="D13" i="11"/>
  <c r="E13" i="11"/>
  <c r="G13" i="11"/>
  <c r="G14" i="11"/>
  <c r="D15" i="11"/>
  <c r="G20" i="11"/>
  <c r="C29" i="11"/>
  <c r="C30" i="11"/>
  <c r="C33" i="11"/>
  <c r="G34" i="11"/>
  <c r="C35" i="11"/>
  <c r="D35" i="11"/>
  <c r="E35" i="11"/>
  <c r="G35" i="11"/>
  <c r="C38" i="11"/>
  <c r="D38" i="11"/>
  <c r="E38" i="11"/>
  <c r="G38" i="11"/>
  <c r="G39" i="11"/>
  <c r="C40" i="11"/>
  <c r="D40" i="11"/>
  <c r="E40" i="11"/>
  <c r="G41" i="11"/>
  <c r="G47" i="11"/>
  <c r="C8" i="12"/>
  <c r="P8" i="12"/>
  <c r="P15" i="12"/>
  <c r="C21" i="12"/>
  <c r="P21" i="12"/>
  <c r="C35" i="12"/>
  <c r="P35" i="12"/>
  <c r="D36" i="12"/>
  <c r="E36" i="12"/>
  <c r="F36" i="12"/>
  <c r="G36" i="12"/>
  <c r="H36" i="12"/>
  <c r="I36" i="12"/>
  <c r="J36" i="12"/>
  <c r="K36" i="12"/>
  <c r="L36" i="12"/>
  <c r="M36" i="12"/>
  <c r="N36" i="12"/>
  <c r="J39" i="12"/>
  <c r="D40" i="12"/>
  <c r="E40" i="12"/>
  <c r="G40" i="12"/>
  <c r="H40" i="12"/>
  <c r="I40" i="12"/>
  <c r="J40" i="12"/>
  <c r="K40" i="12"/>
  <c r="M40" i="12"/>
  <c r="N40" i="12"/>
  <c r="D42" i="12"/>
  <c r="E42" i="12"/>
  <c r="G42" i="12"/>
  <c r="H42" i="12"/>
  <c r="J42" i="12"/>
  <c r="K42" i="12"/>
  <c r="M42" i="12"/>
  <c r="N42" i="12"/>
  <c r="G61" i="12"/>
  <c r="I61" i="12"/>
  <c r="D62" i="12"/>
  <c r="G62" i="12"/>
  <c r="E62" i="12"/>
  <c r="F62" i="12"/>
  <c r="I62" i="12"/>
  <c r="C63" i="12"/>
  <c r="D63" i="12"/>
  <c r="F63" i="12"/>
  <c r="G63" i="12"/>
  <c r="I63" i="12"/>
  <c r="C64" i="12"/>
  <c r="D64" i="12"/>
  <c r="F64" i="12"/>
  <c r="G64" i="12"/>
  <c r="I64" i="12"/>
  <c r="C65" i="12"/>
  <c r="G65" i="12"/>
  <c r="D65" i="12"/>
  <c r="F65" i="12"/>
  <c r="I65" i="12"/>
  <c r="C8" i="13"/>
  <c r="BA8" i="13"/>
  <c r="C13" i="13"/>
  <c r="D13" i="13"/>
  <c r="E13" i="13"/>
  <c r="BA15" i="13"/>
  <c r="BA16" i="13"/>
  <c r="C21" i="13"/>
  <c r="I22" i="13"/>
  <c r="C33" i="13"/>
  <c r="C35" i="13"/>
  <c r="C36" i="13"/>
  <c r="R35" i="13"/>
  <c r="S35" i="13"/>
  <c r="T35" i="13"/>
  <c r="U35" i="13"/>
  <c r="V35" i="13"/>
  <c r="W35" i="13"/>
  <c r="X35" i="13"/>
  <c r="Y35" i="13"/>
  <c r="Z35" i="13"/>
  <c r="AA35" i="13"/>
  <c r="AB35" i="13"/>
  <c r="AC35" i="13"/>
  <c r="BA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U36" i="13"/>
  <c r="V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AX36" i="13"/>
  <c r="AY36" i="13"/>
  <c r="C39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R39" i="13"/>
  <c r="AD39" i="13"/>
  <c r="AE39" i="13"/>
  <c r="AF39" i="13"/>
  <c r="AG39" i="13"/>
  <c r="AH39" i="13"/>
  <c r="AI39" i="13"/>
  <c r="AJ39" i="13"/>
  <c r="AK39" i="13"/>
  <c r="AL39" i="13"/>
  <c r="AM39" i="13"/>
  <c r="AN39" i="13"/>
  <c r="AO39" i="13"/>
  <c r="AP39" i="13"/>
  <c r="AQ39" i="13"/>
  <c r="AR39" i="13"/>
  <c r="AS39" i="13"/>
  <c r="AT39" i="13"/>
  <c r="AU39" i="13"/>
  <c r="AV39" i="13"/>
  <c r="AW39" i="13"/>
  <c r="AX39" i="13"/>
  <c r="AY39" i="13"/>
  <c r="F40" i="13"/>
  <c r="I40" i="13"/>
  <c r="L40" i="13"/>
  <c r="O40" i="13"/>
  <c r="S40" i="13"/>
  <c r="T40" i="13"/>
  <c r="V40" i="13"/>
  <c r="W40" i="13"/>
  <c r="Y40" i="13"/>
  <c r="AB40" i="13"/>
  <c r="AC40" i="13"/>
  <c r="AS41" i="13"/>
  <c r="AT41" i="13"/>
  <c r="AU41" i="13"/>
  <c r="AV41" i="13"/>
  <c r="AW41" i="13"/>
  <c r="AX41" i="13"/>
  <c r="AY41" i="13"/>
  <c r="S42" i="13"/>
  <c r="T42" i="13"/>
  <c r="V42" i="13"/>
  <c r="W42" i="13"/>
  <c r="Y42" i="13"/>
  <c r="Z42" i="13"/>
  <c r="AB42" i="13"/>
  <c r="AC42" i="13"/>
  <c r="AD48" i="13"/>
  <c r="L61" i="13"/>
  <c r="C8" i="14"/>
  <c r="C13" i="14"/>
  <c r="D13" i="14"/>
  <c r="E13" i="14"/>
  <c r="L13" i="14"/>
  <c r="S13" i="14"/>
  <c r="AB13" i="14"/>
  <c r="BC15" i="14"/>
  <c r="C21" i="14"/>
  <c r="I22" i="14"/>
  <c r="Y22" i="14"/>
  <c r="AO22" i="14"/>
  <c r="Q28" i="14"/>
  <c r="Q29" i="14"/>
  <c r="C35" i="14"/>
  <c r="AD35" i="14"/>
  <c r="AE35" i="14"/>
  <c r="AF35" i="14"/>
  <c r="AG35" i="14"/>
  <c r="AH35" i="14"/>
  <c r="AI35" i="14"/>
  <c r="AJ35" i="14"/>
  <c r="AK35" i="14"/>
  <c r="AL35" i="14"/>
  <c r="AM35" i="14"/>
  <c r="AN35" i="14"/>
  <c r="AO35" i="14"/>
  <c r="BC35" i="14"/>
  <c r="C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L36" i="14"/>
  <c r="AM36" i="14"/>
  <c r="AP36" i="14"/>
  <c r="AQ36" i="14"/>
  <c r="AR36" i="14"/>
  <c r="AS36" i="14"/>
  <c r="AT36" i="14"/>
  <c r="AU36" i="14"/>
  <c r="AV36" i="14"/>
  <c r="AW36" i="14"/>
  <c r="AX36" i="14"/>
  <c r="AY36" i="14"/>
  <c r="AZ36" i="14"/>
  <c r="BA36" i="14"/>
  <c r="C39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T39" i="14"/>
  <c r="U39" i="14"/>
  <c r="V39" i="14"/>
  <c r="W39" i="14"/>
  <c r="X39" i="14"/>
  <c r="Y39" i="14"/>
  <c r="Z39" i="14"/>
  <c r="AA39" i="14"/>
  <c r="AB39" i="14"/>
  <c r="AC39" i="14"/>
  <c r="AE39" i="14"/>
  <c r="AL39" i="14"/>
  <c r="AM39" i="14"/>
  <c r="AP39" i="14"/>
  <c r="AQ39" i="14"/>
  <c r="AR39" i="14"/>
  <c r="AS39" i="14"/>
  <c r="AT39" i="14"/>
  <c r="AU39" i="14"/>
  <c r="AV39" i="14"/>
  <c r="AW39" i="14"/>
  <c r="AX39" i="14"/>
  <c r="AY39" i="14"/>
  <c r="AZ39" i="14"/>
  <c r="BA39" i="14"/>
  <c r="F40" i="14"/>
  <c r="I40" i="14"/>
  <c r="L40" i="14"/>
  <c r="O40" i="14"/>
  <c r="R40" i="14"/>
  <c r="U40" i="14"/>
  <c r="AE40" i="14"/>
  <c r="AF40" i="14"/>
  <c r="AH40" i="14"/>
  <c r="AI40" i="14"/>
  <c r="AK40" i="14"/>
  <c r="AL40" i="14"/>
  <c r="AN40" i="14"/>
  <c r="AO40" i="14"/>
  <c r="AE42" i="14"/>
  <c r="AF42" i="14"/>
  <c r="AH42" i="14"/>
  <c r="AI42" i="14"/>
  <c r="AK42" i="14"/>
  <c r="AL42" i="14"/>
  <c r="AN42" i="14"/>
  <c r="AO42" i="14"/>
  <c r="L61" i="14"/>
  <c r="C8" i="15"/>
  <c r="C13" i="15"/>
  <c r="D13" i="15"/>
  <c r="E13" i="15"/>
  <c r="H13" i="15"/>
  <c r="W13" i="15"/>
  <c r="X13" i="15"/>
  <c r="AM13" i="15"/>
  <c r="C21" i="15"/>
  <c r="BC21" i="15"/>
  <c r="M22" i="15"/>
  <c r="AC22" i="15"/>
  <c r="I23" i="15"/>
  <c r="Y23" i="15"/>
  <c r="E28" i="15"/>
  <c r="E29" i="15"/>
  <c r="C35" i="15"/>
  <c r="AP35" i="15"/>
  <c r="AQ35" i="15"/>
  <c r="BC35" i="15"/>
  <c r="AR35" i="15"/>
  <c r="AS35" i="15"/>
  <c r="AT35" i="15"/>
  <c r="AU35" i="15"/>
  <c r="AV35" i="15"/>
  <c r="AW35" i="15"/>
  <c r="AX35" i="15"/>
  <c r="AY35" i="15"/>
  <c r="AZ35" i="15"/>
  <c r="BA35" i="15"/>
  <c r="C36" i="15"/>
  <c r="D36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S36" i="15"/>
  <c r="T36" i="15"/>
  <c r="U36" i="15"/>
  <c r="V36" i="15"/>
  <c r="W36" i="15"/>
  <c r="X36" i="15"/>
  <c r="Y36" i="15"/>
  <c r="Z36" i="15"/>
  <c r="AA36" i="15"/>
  <c r="AB36" i="15"/>
  <c r="AC36" i="15"/>
  <c r="AD36" i="15"/>
  <c r="AE36" i="15"/>
  <c r="AF36" i="15"/>
  <c r="AG36" i="15"/>
  <c r="AH36" i="15"/>
  <c r="AI36" i="15"/>
  <c r="AJ36" i="15"/>
  <c r="AK36" i="15"/>
  <c r="AL36" i="15"/>
  <c r="AM36" i="15"/>
  <c r="AN36" i="15"/>
  <c r="AO36" i="15"/>
  <c r="AT36" i="15"/>
  <c r="AU36" i="15"/>
  <c r="C39" i="15"/>
  <c r="D39" i="15"/>
  <c r="E39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S39" i="15"/>
  <c r="T39" i="15"/>
  <c r="U39" i="15"/>
  <c r="V39" i="15"/>
  <c r="W39" i="15"/>
  <c r="X39" i="15"/>
  <c r="Y39" i="15"/>
  <c r="Z39" i="15"/>
  <c r="AA39" i="15"/>
  <c r="AB39" i="15"/>
  <c r="AC39" i="15"/>
  <c r="AD39" i="15"/>
  <c r="AE39" i="15"/>
  <c r="AF39" i="15"/>
  <c r="AG39" i="15"/>
  <c r="AH39" i="15"/>
  <c r="AI39" i="15"/>
  <c r="AJ39" i="15"/>
  <c r="AK39" i="15"/>
  <c r="AL39" i="15"/>
  <c r="AM39" i="15"/>
  <c r="AN39" i="15"/>
  <c r="AO39" i="15"/>
  <c r="AU39" i="15"/>
  <c r="F40" i="15"/>
  <c r="I40" i="15"/>
  <c r="L40" i="15"/>
  <c r="O40" i="15"/>
  <c r="R40" i="15"/>
  <c r="U40" i="15"/>
  <c r="AQ40" i="15"/>
  <c r="AR40" i="15"/>
  <c r="AT40" i="15"/>
  <c r="AU40" i="15"/>
  <c r="AW40" i="15"/>
  <c r="AX40" i="15"/>
  <c r="AZ40" i="15"/>
  <c r="BA40" i="15"/>
  <c r="AS41" i="15"/>
  <c r="AT41" i="15"/>
  <c r="AU41" i="15"/>
  <c r="AV41" i="15"/>
  <c r="AW41" i="15"/>
  <c r="AX41" i="15"/>
  <c r="AY41" i="15"/>
  <c r="AZ41" i="15"/>
  <c r="BA41" i="15"/>
  <c r="AQ42" i="15"/>
  <c r="AR42" i="15"/>
  <c r="AT42" i="15"/>
  <c r="AU42" i="15"/>
  <c r="AW42" i="15"/>
  <c r="AX42" i="15"/>
  <c r="AZ42" i="15"/>
  <c r="BA42" i="15"/>
  <c r="L61" i="15"/>
  <c r="C13" i="16"/>
  <c r="D13" i="16"/>
  <c r="E13" i="16"/>
  <c r="P13" i="16"/>
  <c r="P14" i="16"/>
  <c r="M14" i="12"/>
  <c r="I22" i="16"/>
  <c r="I23" i="16"/>
  <c r="F23" i="12"/>
  <c r="J22" i="16"/>
  <c r="Y22" i="16"/>
  <c r="Y23" i="16"/>
  <c r="Y23" i="13"/>
  <c r="Z22" i="16"/>
  <c r="AO22" i="16"/>
  <c r="AO23" i="16"/>
  <c r="AO23" i="14"/>
  <c r="AP22" i="16"/>
  <c r="E28" i="16"/>
  <c r="E29" i="16"/>
  <c r="M28" i="16"/>
  <c r="AS28" i="16"/>
  <c r="C34" i="16"/>
  <c r="C36" i="16"/>
  <c r="D36" i="16"/>
  <c r="E36" i="16"/>
  <c r="F36" i="16"/>
  <c r="C36" i="12"/>
  <c r="G36" i="16"/>
  <c r="H36" i="16"/>
  <c r="I36" i="16"/>
  <c r="J36" i="16"/>
  <c r="K36" i="16"/>
  <c r="L36" i="16"/>
  <c r="M36" i="16"/>
  <c r="N36" i="16"/>
  <c r="O36" i="16"/>
  <c r="P36" i="16"/>
  <c r="Q36" i="16"/>
  <c r="R36" i="16"/>
  <c r="R36" i="13"/>
  <c r="S36" i="16"/>
  <c r="T36" i="16"/>
  <c r="T36" i="13"/>
  <c r="U36" i="16"/>
  <c r="V36" i="16"/>
  <c r="W36" i="16"/>
  <c r="X36" i="16"/>
  <c r="X36" i="13"/>
  <c r="Y36" i="16"/>
  <c r="Y36" i="13"/>
  <c r="Z36" i="16"/>
  <c r="Z36" i="13"/>
  <c r="AA36" i="16"/>
  <c r="AB36" i="16"/>
  <c r="AB36" i="13"/>
  <c r="AC36" i="16"/>
  <c r="AD36" i="16"/>
  <c r="AE36" i="16"/>
  <c r="AE36" i="14"/>
  <c r="AF36" i="16"/>
  <c r="AF36" i="14"/>
  <c r="AG36" i="16"/>
  <c r="AG36" i="14"/>
  <c r="AH36" i="16"/>
  <c r="AH36" i="14"/>
  <c r="AI36" i="16"/>
  <c r="AJ36" i="16"/>
  <c r="AJ36" i="14"/>
  <c r="AK36" i="16"/>
  <c r="AK36" i="14"/>
  <c r="AL36" i="16"/>
  <c r="AM36" i="16"/>
  <c r="AN36" i="16"/>
  <c r="AN36" i="14"/>
  <c r="AO36" i="16"/>
  <c r="AO36" i="14"/>
  <c r="AP36" i="16"/>
  <c r="AP36" i="15"/>
  <c r="AQ36" i="16"/>
  <c r="AR36" i="16"/>
  <c r="AR36" i="15"/>
  <c r="AS36" i="16"/>
  <c r="AS36" i="15"/>
  <c r="AT36" i="16"/>
  <c r="AU36" i="16"/>
  <c r="AV36" i="16"/>
  <c r="AV36" i="15"/>
  <c r="AW36" i="16"/>
  <c r="AW36" i="15"/>
  <c r="AX36" i="16"/>
  <c r="AX36" i="15"/>
  <c r="AY36" i="16"/>
  <c r="AZ36" i="16"/>
  <c r="AZ36" i="15"/>
  <c r="BA36" i="16"/>
  <c r="BA36" i="15"/>
  <c r="C39" i="16"/>
  <c r="D39" i="16"/>
  <c r="E39" i="16"/>
  <c r="F39" i="16"/>
  <c r="C39" i="12"/>
  <c r="G39" i="16"/>
  <c r="D39" i="12"/>
  <c r="H39" i="16"/>
  <c r="E39" i="12"/>
  <c r="I39" i="16"/>
  <c r="F39" i="12"/>
  <c r="J39" i="16"/>
  <c r="G39" i="12"/>
  <c r="K39" i="16"/>
  <c r="H39" i="12"/>
  <c r="L39" i="16"/>
  <c r="I39" i="12"/>
  <c r="M39" i="16"/>
  <c r="N39" i="16"/>
  <c r="K39" i="12"/>
  <c r="O39" i="16"/>
  <c r="L39" i="12"/>
  <c r="P39" i="16"/>
  <c r="M39" i="12"/>
  <c r="Q39" i="16"/>
  <c r="N39" i="12"/>
  <c r="R39" i="16"/>
  <c r="S39" i="16"/>
  <c r="S39" i="13"/>
  <c r="T39" i="16"/>
  <c r="T39" i="13"/>
  <c r="U39" i="16"/>
  <c r="U39" i="13"/>
  <c r="V39" i="16"/>
  <c r="V39" i="13"/>
  <c r="W39" i="16"/>
  <c r="W39" i="13"/>
  <c r="X39" i="16"/>
  <c r="X39" i="13"/>
  <c r="Y39" i="16"/>
  <c r="Y39" i="13"/>
  <c r="Z39" i="16"/>
  <c r="Z39" i="13"/>
  <c r="AA39" i="16"/>
  <c r="AA39" i="13"/>
  <c r="AB39" i="16"/>
  <c r="AB39" i="13"/>
  <c r="AC39" i="16"/>
  <c r="AC39" i="13"/>
  <c r="AD39" i="16"/>
  <c r="AD39" i="14"/>
  <c r="BC39" i="14"/>
  <c r="AE39" i="16"/>
  <c r="AF39" i="16"/>
  <c r="AF39" i="14"/>
  <c r="AG39" i="16"/>
  <c r="AG39" i="14"/>
  <c r="AH39" i="16"/>
  <c r="AH39" i="14"/>
  <c r="AI39" i="16"/>
  <c r="AI39" i="14"/>
  <c r="AJ39" i="16"/>
  <c r="AJ39" i="14"/>
  <c r="AK39" i="16"/>
  <c r="AK39" i="14"/>
  <c r="AL39" i="16"/>
  <c r="AM39" i="16"/>
  <c r="AN39" i="16"/>
  <c r="AN39" i="14"/>
  <c r="AO39" i="16"/>
  <c r="AO39" i="14"/>
  <c r="AP39" i="16"/>
  <c r="AP39" i="15"/>
  <c r="AQ39" i="16"/>
  <c r="AQ39" i="15"/>
  <c r="AR39" i="16"/>
  <c r="AR39" i="15"/>
  <c r="AS39" i="16"/>
  <c r="AS39" i="15"/>
  <c r="BC39" i="15"/>
  <c r="AT39" i="16"/>
  <c r="AT39" i="15"/>
  <c r="AU39" i="16"/>
  <c r="AV39" i="16"/>
  <c r="AV39" i="15"/>
  <c r="AW39" i="16"/>
  <c r="AW39" i="15"/>
  <c r="AX39" i="16"/>
  <c r="AX39" i="15"/>
  <c r="AY39" i="16"/>
  <c r="AY39" i="15"/>
  <c r="AZ39" i="16"/>
  <c r="AZ39" i="15"/>
  <c r="BA39" i="16"/>
  <c r="BA39" i="15"/>
  <c r="F40" i="16"/>
  <c r="C40" i="12"/>
  <c r="I40" i="16"/>
  <c r="F40" i="12"/>
  <c r="L40" i="16"/>
  <c r="O40" i="16"/>
  <c r="L40" i="12"/>
  <c r="R40" i="16"/>
  <c r="R40" i="13"/>
  <c r="U40" i="16"/>
  <c r="U40" i="13"/>
  <c r="L61" i="16"/>
  <c r="A4" i="24"/>
  <c r="K10" i="24"/>
  <c r="K12" i="24"/>
  <c r="H27" i="24"/>
  <c r="K14" i="24"/>
  <c r="K17" i="24"/>
  <c r="C26" i="24"/>
  <c r="G26" i="24"/>
  <c r="D26" i="24"/>
  <c r="I26" i="24"/>
  <c r="D27" i="24"/>
  <c r="J26" i="24"/>
  <c r="C27" i="24"/>
  <c r="G27" i="24"/>
  <c r="J27" i="24"/>
  <c r="K27" i="24"/>
  <c r="B28" i="24"/>
  <c r="H28" i="24"/>
  <c r="G41" i="16"/>
  <c r="D41" i="12"/>
  <c r="C28" i="24"/>
  <c r="G28" i="24"/>
  <c r="J28" i="24"/>
  <c r="C29" i="24"/>
  <c r="C30" i="24"/>
  <c r="C31" i="24"/>
  <c r="C32" i="24"/>
  <c r="C33" i="24"/>
  <c r="A4" i="25"/>
  <c r="K10" i="25"/>
  <c r="K12" i="25"/>
  <c r="K14" i="25"/>
  <c r="K16" i="25"/>
  <c r="K17" i="25"/>
  <c r="C26" i="25"/>
  <c r="D26" i="25"/>
  <c r="G26" i="25"/>
  <c r="I26" i="25"/>
  <c r="J26" i="25"/>
  <c r="C27" i="25"/>
  <c r="D27" i="25"/>
  <c r="I27" i="25"/>
  <c r="E27" i="25"/>
  <c r="G27" i="25"/>
  <c r="J27" i="25"/>
  <c r="K27" i="25"/>
  <c r="B28" i="25"/>
  <c r="C28" i="25"/>
  <c r="D28" i="25"/>
  <c r="I28" i="25"/>
  <c r="D29" i="25"/>
  <c r="I29" i="25"/>
  <c r="D30" i="25"/>
  <c r="I30" i="25"/>
  <c r="D31" i="25"/>
  <c r="E28" i="25"/>
  <c r="G28" i="25"/>
  <c r="J28" i="25"/>
  <c r="J29" i="25"/>
  <c r="K28" i="25"/>
  <c r="B29" i="25"/>
  <c r="C29" i="25"/>
  <c r="E29" i="25"/>
  <c r="B30" i="25"/>
  <c r="H30" i="25"/>
  <c r="C30" i="25"/>
  <c r="E30" i="25"/>
  <c r="G30" i="25"/>
  <c r="C31" i="25"/>
  <c r="C32" i="25"/>
  <c r="C33" i="25"/>
  <c r="S17" i="7"/>
  <c r="AA17" i="7"/>
  <c r="AI17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AJ23" i="7"/>
  <c r="AK23" i="7"/>
  <c r="AL23" i="7"/>
  <c r="AM23" i="7"/>
  <c r="AN23" i="7"/>
  <c r="AO23" i="7"/>
  <c r="AP23" i="7"/>
  <c r="AQ23" i="7"/>
  <c r="AR23" i="7"/>
  <c r="AS23" i="7"/>
  <c r="AT23" i="7"/>
  <c r="AU23" i="7"/>
  <c r="AV23" i="7"/>
  <c r="AW23" i="7"/>
  <c r="AX23" i="7"/>
  <c r="AY23" i="7"/>
  <c r="AZ23" i="7"/>
  <c r="BA23" i="7"/>
  <c r="AH29" i="7"/>
  <c r="C33" i="7"/>
  <c r="D33" i="7"/>
  <c r="K33" i="7"/>
  <c r="S33" i="7"/>
  <c r="AA33" i="7"/>
  <c r="AI33" i="7"/>
  <c r="AQ33" i="7"/>
  <c r="AY33" i="7"/>
  <c r="C34" i="7"/>
  <c r="D34" i="7"/>
  <c r="H34" i="7"/>
  <c r="K34" i="7"/>
  <c r="S34" i="7"/>
  <c r="X34" i="7"/>
  <c r="AA34" i="7"/>
  <c r="AI34" i="7"/>
  <c r="AN34" i="7"/>
  <c r="AQ34" i="7"/>
  <c r="AY34" i="7"/>
  <c r="C36" i="7"/>
  <c r="D36" i="7"/>
  <c r="F36" i="7"/>
  <c r="N36" i="7"/>
  <c r="V36" i="7"/>
  <c r="AD36" i="7"/>
  <c r="AL36" i="7"/>
  <c r="AT36" i="7"/>
  <c r="C40" i="7"/>
  <c r="D40" i="7"/>
  <c r="E40" i="7"/>
  <c r="Q40" i="7"/>
  <c r="AG40" i="7"/>
  <c r="AW40" i="7"/>
  <c r="C41" i="7"/>
  <c r="D41" i="7"/>
  <c r="E41" i="7"/>
  <c r="G41" i="7"/>
  <c r="O41" i="7"/>
  <c r="W41" i="7"/>
  <c r="AE41" i="7"/>
  <c r="AM41" i="7"/>
  <c r="AU41" i="7"/>
  <c r="C49" i="7"/>
  <c r="D49" i="7"/>
  <c r="D53" i="7"/>
  <c r="E49" i="7"/>
  <c r="H49" i="7"/>
  <c r="I49" i="7"/>
  <c r="M49" i="7"/>
  <c r="N49" i="7"/>
  <c r="T49" i="7"/>
  <c r="X49" i="7"/>
  <c r="Y49" i="7"/>
  <c r="Y53" i="7"/>
  <c r="AC49" i="7"/>
  <c r="AH49" i="7"/>
  <c r="AJ49" i="7"/>
  <c r="AJ53" i="7"/>
  <c r="AN49" i="7"/>
  <c r="AO49" i="7"/>
  <c r="AS49" i="7"/>
  <c r="AT49" i="7"/>
  <c r="AT53" i="7"/>
  <c r="AZ49" i="7"/>
  <c r="C50" i="7"/>
  <c r="D50" i="7"/>
  <c r="E50" i="7"/>
  <c r="I50" i="7"/>
  <c r="J50" i="7"/>
  <c r="N50" i="7"/>
  <c r="U50" i="7"/>
  <c r="Y50" i="7"/>
  <c r="AI50" i="7"/>
  <c r="AK50" i="7"/>
  <c r="AO50" i="7"/>
  <c r="AP50" i="7"/>
  <c r="AT50" i="7"/>
  <c r="BA50" i="7"/>
  <c r="C51" i="7"/>
  <c r="D51" i="7"/>
  <c r="E51" i="7"/>
  <c r="F51" i="7"/>
  <c r="J51" i="7"/>
  <c r="P51" i="7"/>
  <c r="T51" i="7"/>
  <c r="AE51" i="7"/>
  <c r="AF51" i="7"/>
  <c r="AJ51" i="7"/>
  <c r="AL51" i="7"/>
  <c r="AP51" i="7"/>
  <c r="AV51" i="7"/>
  <c r="AZ51" i="7"/>
  <c r="C52" i="7"/>
  <c r="D52" i="7"/>
  <c r="E52" i="7"/>
  <c r="G52" i="7"/>
  <c r="H52" i="7"/>
  <c r="L52" i="7"/>
  <c r="M52" i="7"/>
  <c r="Q52" i="7"/>
  <c r="X52" i="7"/>
  <c r="AB52" i="7"/>
  <c r="AC52" i="7"/>
  <c r="AG52" i="7"/>
  <c r="AM52" i="7"/>
  <c r="AN52" i="7"/>
  <c r="AR52" i="7"/>
  <c r="AS52" i="7"/>
  <c r="AW52" i="7"/>
  <c r="E53" i="7"/>
  <c r="I53" i="7"/>
  <c r="AO53" i="7"/>
  <c r="C56" i="7"/>
  <c r="D56" i="7"/>
  <c r="E56" i="7"/>
  <c r="F56" i="7"/>
  <c r="J56" i="7"/>
  <c r="K56" i="7"/>
  <c r="K61" i="7"/>
  <c r="O56" i="7"/>
  <c r="Q56" i="7"/>
  <c r="U56" i="7"/>
  <c r="V56" i="7"/>
  <c r="Z56" i="7"/>
  <c r="AG56" i="7"/>
  <c r="AK56" i="7"/>
  <c r="AL56" i="7"/>
  <c r="AP56" i="7"/>
  <c r="AQ56" i="7"/>
  <c r="AU56" i="7"/>
  <c r="AW56" i="7"/>
  <c r="BA56" i="7"/>
  <c r="C57" i="7"/>
  <c r="C61" i="7"/>
  <c r="D57" i="7"/>
  <c r="E57" i="7"/>
  <c r="F57" i="7"/>
  <c r="G57" i="7"/>
  <c r="K57" i="7"/>
  <c r="R57" i="7"/>
  <c r="V57" i="7"/>
  <c r="AF57" i="7"/>
  <c r="AH57" i="7"/>
  <c r="AL57" i="7"/>
  <c r="AM57" i="7"/>
  <c r="AQ57" i="7"/>
  <c r="AX57" i="7"/>
  <c r="C58" i="7"/>
  <c r="D58" i="7"/>
  <c r="E58" i="7"/>
  <c r="I58" i="7"/>
  <c r="M58" i="7"/>
  <c r="S58" i="7"/>
  <c r="T58" i="7"/>
  <c r="Y58" i="7"/>
  <c r="AC58" i="7"/>
  <c r="AE58" i="7"/>
  <c r="AO58" i="7"/>
  <c r="AS58" i="7"/>
  <c r="AY58" i="7"/>
  <c r="AZ58" i="7"/>
  <c r="C59" i="7"/>
  <c r="D59" i="7"/>
  <c r="E59" i="7"/>
  <c r="I59" i="7"/>
  <c r="J59" i="7"/>
  <c r="N59" i="7"/>
  <c r="T59" i="7"/>
  <c r="U59" i="7"/>
  <c r="Y59" i="7"/>
  <c r="Z59" i="7"/>
  <c r="AD59" i="7"/>
  <c r="AK59" i="7"/>
  <c r="AO59" i="7"/>
  <c r="AP59" i="7"/>
  <c r="AT59" i="7"/>
  <c r="AZ59" i="7"/>
  <c r="BA59" i="7"/>
  <c r="C60" i="7"/>
  <c r="D60" i="7"/>
  <c r="E60" i="7"/>
  <c r="F60" i="7"/>
  <c r="J60" i="7"/>
  <c r="K60" i="7"/>
  <c r="O60" i="7"/>
  <c r="Q60" i="7"/>
  <c r="U60" i="7"/>
  <c r="V60" i="7"/>
  <c r="Z60" i="7"/>
  <c r="AD60" i="7"/>
  <c r="AE60" i="7"/>
  <c r="AH60" i="7"/>
  <c r="AL60" i="7"/>
  <c r="AM60" i="7"/>
  <c r="AP60" i="7"/>
  <c r="AT60" i="7"/>
  <c r="AU60" i="7"/>
  <c r="AX60" i="7"/>
  <c r="D61" i="7"/>
  <c r="C68" i="7"/>
  <c r="D68" i="7"/>
  <c r="E68" i="7"/>
  <c r="E72" i="7"/>
  <c r="C69" i="7"/>
  <c r="C69" i="2"/>
  <c r="D69" i="7"/>
  <c r="E69" i="7"/>
  <c r="AT69" i="7"/>
  <c r="G69" i="6"/>
  <c r="AU69" i="7"/>
  <c r="AV69" i="7"/>
  <c r="AW69" i="7"/>
  <c r="AX69" i="7"/>
  <c r="K69" i="6"/>
  <c r="AY69" i="7"/>
  <c r="AZ69" i="7"/>
  <c r="BA69" i="7"/>
  <c r="C70" i="7"/>
  <c r="D70" i="7"/>
  <c r="E70" i="7"/>
  <c r="G70" i="7"/>
  <c r="H70" i="7"/>
  <c r="O70" i="7"/>
  <c r="P70" i="7"/>
  <c r="W70" i="7"/>
  <c r="X70" i="7"/>
  <c r="AE70" i="7"/>
  <c r="AF70" i="7"/>
  <c r="AM70" i="7"/>
  <c r="AN70" i="7"/>
  <c r="AU70" i="7"/>
  <c r="AV70" i="7"/>
  <c r="C71" i="7"/>
  <c r="D71" i="7"/>
  <c r="E71" i="7"/>
  <c r="I71" i="7"/>
  <c r="L71" i="7"/>
  <c r="M71" i="7"/>
  <c r="Q71" i="7"/>
  <c r="T71" i="7"/>
  <c r="U71" i="7"/>
  <c r="Y71" i="7"/>
  <c r="AB71" i="7"/>
  <c r="AC71" i="7"/>
  <c r="AG71" i="7"/>
  <c r="AJ71" i="7"/>
  <c r="AK71" i="7"/>
  <c r="AO71" i="7"/>
  <c r="AR71" i="7"/>
  <c r="AS71" i="7"/>
  <c r="AW71" i="7"/>
  <c r="AZ71" i="7"/>
  <c r="BA71" i="7"/>
  <c r="G10" i="2"/>
  <c r="C10" i="1"/>
  <c r="G11" i="2"/>
  <c r="G12" i="2"/>
  <c r="G13" i="2"/>
  <c r="G14" i="2"/>
  <c r="C14" i="1"/>
  <c r="G15" i="2"/>
  <c r="G16" i="2"/>
  <c r="G17" i="2"/>
  <c r="C17" i="1"/>
  <c r="C23" i="2"/>
  <c r="G23" i="2"/>
  <c r="C23" i="1"/>
  <c r="D23" i="2"/>
  <c r="E23" i="2"/>
  <c r="C33" i="2"/>
  <c r="D33" i="2"/>
  <c r="C34" i="2"/>
  <c r="D34" i="2"/>
  <c r="C36" i="2"/>
  <c r="D36" i="2"/>
  <c r="C40" i="2"/>
  <c r="D40" i="2"/>
  <c r="E40" i="2"/>
  <c r="G40" i="2"/>
  <c r="C40" i="1"/>
  <c r="C41" i="2"/>
  <c r="D41" i="2"/>
  <c r="E41" i="2"/>
  <c r="G41" i="2"/>
  <c r="C49" i="2"/>
  <c r="G49" i="2"/>
  <c r="D49" i="2"/>
  <c r="E49" i="2"/>
  <c r="C50" i="2"/>
  <c r="G50" i="2"/>
  <c r="C50" i="1"/>
  <c r="D50" i="2"/>
  <c r="E50" i="2"/>
  <c r="C51" i="2"/>
  <c r="G51" i="2"/>
  <c r="C51" i="1"/>
  <c r="D51" i="2"/>
  <c r="E51" i="2"/>
  <c r="C52" i="2"/>
  <c r="G52" i="2"/>
  <c r="C52" i="1"/>
  <c r="D52" i="2"/>
  <c r="E52" i="2"/>
  <c r="C53" i="2"/>
  <c r="D53" i="2"/>
  <c r="E53" i="2"/>
  <c r="C56" i="2"/>
  <c r="G56" i="2"/>
  <c r="D56" i="2"/>
  <c r="E56" i="2"/>
  <c r="C57" i="2"/>
  <c r="G57" i="2"/>
  <c r="C57" i="1"/>
  <c r="D57" i="2"/>
  <c r="E57" i="2"/>
  <c r="C58" i="2"/>
  <c r="G58" i="2"/>
  <c r="C58" i="1"/>
  <c r="D58" i="2"/>
  <c r="E58" i="2"/>
  <c r="C59" i="2"/>
  <c r="G59" i="2"/>
  <c r="C59" i="1"/>
  <c r="D59" i="2"/>
  <c r="E59" i="2"/>
  <c r="C60" i="2"/>
  <c r="G60" i="2"/>
  <c r="C60" i="1"/>
  <c r="D60" i="2"/>
  <c r="E60" i="2"/>
  <c r="C61" i="2"/>
  <c r="D61" i="2"/>
  <c r="E61" i="2"/>
  <c r="C68" i="2"/>
  <c r="D68" i="2"/>
  <c r="E68" i="2"/>
  <c r="G68" i="2"/>
  <c r="D69" i="2"/>
  <c r="E69" i="2"/>
  <c r="C70" i="2"/>
  <c r="D70" i="2"/>
  <c r="E70" i="2"/>
  <c r="G70" i="2"/>
  <c r="C71" i="2"/>
  <c r="D71" i="2"/>
  <c r="E71" i="2"/>
  <c r="G71" i="2"/>
  <c r="C71" i="1"/>
  <c r="D72" i="2"/>
  <c r="E72" i="2"/>
  <c r="P10" i="3"/>
  <c r="P11" i="3"/>
  <c r="D11" i="1"/>
  <c r="P12" i="3"/>
  <c r="P13" i="3"/>
  <c r="P14" i="3"/>
  <c r="P15" i="3"/>
  <c r="D15" i="1"/>
  <c r="P16" i="3"/>
  <c r="E17" i="3"/>
  <c r="I17" i="3"/>
  <c r="M17" i="3"/>
  <c r="C23" i="3"/>
  <c r="D23" i="3"/>
  <c r="P23" i="3"/>
  <c r="D23" i="1"/>
  <c r="E23" i="3"/>
  <c r="F23" i="3"/>
  <c r="G23" i="3"/>
  <c r="H23" i="3"/>
  <c r="I23" i="3"/>
  <c r="J23" i="3"/>
  <c r="K23" i="3"/>
  <c r="L23" i="3"/>
  <c r="M23" i="3"/>
  <c r="N23" i="3"/>
  <c r="N29" i="3"/>
  <c r="E33" i="3"/>
  <c r="I33" i="3"/>
  <c r="M33" i="3"/>
  <c r="D34" i="3"/>
  <c r="H34" i="3"/>
  <c r="L34" i="3"/>
  <c r="C36" i="3"/>
  <c r="G36" i="3"/>
  <c r="K36" i="3"/>
  <c r="F40" i="3"/>
  <c r="N40" i="3"/>
  <c r="E41" i="3"/>
  <c r="F41" i="3"/>
  <c r="I41" i="3"/>
  <c r="M41" i="3"/>
  <c r="N41" i="3"/>
  <c r="C49" i="3"/>
  <c r="K49" i="3"/>
  <c r="C50" i="3"/>
  <c r="F50" i="3"/>
  <c r="J50" i="3"/>
  <c r="K50" i="3"/>
  <c r="N50" i="3"/>
  <c r="E51" i="3"/>
  <c r="F51" i="3"/>
  <c r="I51" i="3"/>
  <c r="J51" i="3"/>
  <c r="M51" i="3"/>
  <c r="N51" i="3"/>
  <c r="D52" i="3"/>
  <c r="E52" i="3"/>
  <c r="I52" i="3"/>
  <c r="L52" i="3"/>
  <c r="M52" i="3"/>
  <c r="C56" i="3"/>
  <c r="F56" i="3"/>
  <c r="G56" i="3"/>
  <c r="J56" i="3"/>
  <c r="K56" i="3"/>
  <c r="N56" i="3"/>
  <c r="E57" i="3"/>
  <c r="F57" i="3"/>
  <c r="J57" i="3"/>
  <c r="M57" i="3"/>
  <c r="N57" i="3"/>
  <c r="H58" i="3"/>
  <c r="C59" i="3"/>
  <c r="G59" i="3"/>
  <c r="H59" i="3"/>
  <c r="K59" i="3"/>
  <c r="C60" i="3"/>
  <c r="F60" i="3"/>
  <c r="G60" i="3"/>
  <c r="J60" i="3"/>
  <c r="K60" i="3"/>
  <c r="N60" i="3"/>
  <c r="E70" i="3"/>
  <c r="F70" i="3"/>
  <c r="J70" i="3"/>
  <c r="M70" i="3"/>
  <c r="N70" i="3"/>
  <c r="H71" i="3"/>
  <c r="P10" i="4"/>
  <c r="P11" i="4"/>
  <c r="P12" i="4"/>
  <c r="P13" i="4"/>
  <c r="E13" i="1"/>
  <c r="P14" i="4"/>
  <c r="P15" i="4"/>
  <c r="P16" i="4"/>
  <c r="D17" i="4"/>
  <c r="H17" i="4"/>
  <c r="L17" i="4"/>
  <c r="C23" i="4"/>
  <c r="D23" i="4"/>
  <c r="E23" i="4"/>
  <c r="P23" i="4"/>
  <c r="E23" i="1"/>
  <c r="F23" i="4"/>
  <c r="G23" i="4"/>
  <c r="H23" i="4"/>
  <c r="I23" i="4"/>
  <c r="J23" i="4"/>
  <c r="K23" i="4"/>
  <c r="L23" i="4"/>
  <c r="M23" i="4"/>
  <c r="N23" i="4"/>
  <c r="D29" i="4"/>
  <c r="E29" i="4"/>
  <c r="H29" i="4"/>
  <c r="I29" i="4"/>
  <c r="L29" i="4"/>
  <c r="M29" i="4"/>
  <c r="D33" i="4"/>
  <c r="H33" i="4"/>
  <c r="L33" i="4"/>
  <c r="C34" i="4"/>
  <c r="G34" i="4"/>
  <c r="K34" i="4"/>
  <c r="I35" i="4"/>
  <c r="D36" i="4"/>
  <c r="H36" i="4"/>
  <c r="L36" i="4"/>
  <c r="D40" i="4"/>
  <c r="E40" i="4"/>
  <c r="H40" i="4"/>
  <c r="I40" i="4"/>
  <c r="L40" i="4"/>
  <c r="M40" i="4"/>
  <c r="C41" i="4"/>
  <c r="D41" i="4"/>
  <c r="H41" i="4"/>
  <c r="K41" i="4"/>
  <c r="L41" i="4"/>
  <c r="E49" i="4"/>
  <c r="F49" i="4"/>
  <c r="I49" i="4"/>
  <c r="J49" i="4"/>
  <c r="M49" i="4"/>
  <c r="N49" i="4"/>
  <c r="E50" i="4"/>
  <c r="H50" i="4"/>
  <c r="I50" i="4"/>
  <c r="M50" i="4"/>
  <c r="C51" i="4"/>
  <c r="K51" i="4"/>
  <c r="C52" i="4"/>
  <c r="F52" i="4"/>
  <c r="J52" i="4"/>
  <c r="K52" i="4"/>
  <c r="N52" i="4"/>
  <c r="D56" i="4"/>
  <c r="L56" i="4"/>
  <c r="C57" i="4"/>
  <c r="D57" i="4"/>
  <c r="G57" i="4"/>
  <c r="K57" i="4"/>
  <c r="L57" i="4"/>
  <c r="C58" i="4"/>
  <c r="F58" i="4"/>
  <c r="G58" i="4"/>
  <c r="J58" i="4"/>
  <c r="K58" i="4"/>
  <c r="N58" i="4"/>
  <c r="E59" i="4"/>
  <c r="F59" i="4"/>
  <c r="J59" i="4"/>
  <c r="M59" i="4"/>
  <c r="N59" i="4"/>
  <c r="H60" i="4"/>
  <c r="C70" i="4"/>
  <c r="D70" i="4"/>
  <c r="G70" i="4"/>
  <c r="K70" i="4"/>
  <c r="L70" i="4"/>
  <c r="C71" i="4"/>
  <c r="F71" i="4"/>
  <c r="G71" i="4"/>
  <c r="J71" i="4"/>
  <c r="K71" i="4"/>
  <c r="N71" i="4"/>
  <c r="P10" i="5"/>
  <c r="P11" i="5"/>
  <c r="P12" i="5"/>
  <c r="F12" i="1"/>
  <c r="P13" i="5"/>
  <c r="P14" i="5"/>
  <c r="P15" i="5"/>
  <c r="P16" i="5"/>
  <c r="F16" i="1"/>
  <c r="C23" i="5"/>
  <c r="D23" i="5"/>
  <c r="P23" i="5"/>
  <c r="F23" i="1"/>
  <c r="E23" i="5"/>
  <c r="F23" i="5"/>
  <c r="G23" i="5"/>
  <c r="H23" i="5"/>
  <c r="I23" i="5"/>
  <c r="J23" i="5"/>
  <c r="K23" i="5"/>
  <c r="L23" i="5"/>
  <c r="M23" i="5"/>
  <c r="N23" i="5"/>
  <c r="C29" i="5"/>
  <c r="E33" i="5"/>
  <c r="F33" i="5"/>
  <c r="I33" i="5"/>
  <c r="M33" i="5"/>
  <c r="N33" i="5"/>
  <c r="D34" i="5"/>
  <c r="H34" i="5"/>
  <c r="I34" i="5"/>
  <c r="L34" i="5"/>
  <c r="L35" i="5"/>
  <c r="C36" i="5"/>
  <c r="G36" i="5"/>
  <c r="K36" i="5"/>
  <c r="C40" i="5"/>
  <c r="J40" i="5"/>
  <c r="K40" i="5"/>
  <c r="E41" i="5"/>
  <c r="F41" i="5"/>
  <c r="I41" i="5"/>
  <c r="M41" i="5"/>
  <c r="N41" i="5"/>
  <c r="G49" i="5"/>
  <c r="H49" i="5"/>
  <c r="C50" i="5"/>
  <c r="F50" i="5"/>
  <c r="J50" i="5"/>
  <c r="K50" i="5"/>
  <c r="N50" i="5"/>
  <c r="E51" i="5"/>
  <c r="F51" i="5"/>
  <c r="I51" i="5"/>
  <c r="J51" i="5"/>
  <c r="M51" i="5"/>
  <c r="N51" i="5"/>
  <c r="E52" i="5"/>
  <c r="I52" i="5"/>
  <c r="M52" i="5"/>
  <c r="C56" i="5"/>
  <c r="F56" i="5"/>
  <c r="G56" i="5"/>
  <c r="J56" i="5"/>
  <c r="K56" i="5"/>
  <c r="N56" i="5"/>
  <c r="F57" i="5"/>
  <c r="J57" i="5"/>
  <c r="N57" i="5"/>
  <c r="D58" i="5"/>
  <c r="E58" i="5"/>
  <c r="L58" i="5"/>
  <c r="M58" i="5"/>
  <c r="C59" i="5"/>
  <c r="G59" i="5"/>
  <c r="H59" i="5"/>
  <c r="K59" i="5"/>
  <c r="C60" i="5"/>
  <c r="F60" i="5"/>
  <c r="G60" i="5"/>
  <c r="J60" i="5"/>
  <c r="K60" i="5"/>
  <c r="N60" i="5"/>
  <c r="N61" i="5"/>
  <c r="F70" i="5"/>
  <c r="J70" i="5"/>
  <c r="N70" i="5"/>
  <c r="D71" i="5"/>
  <c r="E71" i="5"/>
  <c r="L71" i="5"/>
  <c r="M71" i="5"/>
  <c r="P10" i="6"/>
  <c r="G10" i="1"/>
  <c r="P11" i="6"/>
  <c r="P12" i="6"/>
  <c r="P13" i="6"/>
  <c r="P14" i="6"/>
  <c r="G14" i="1"/>
  <c r="P15" i="6"/>
  <c r="P16" i="6"/>
  <c r="C23" i="6"/>
  <c r="D23" i="6"/>
  <c r="E23" i="6"/>
  <c r="F23" i="6"/>
  <c r="G23" i="6"/>
  <c r="H23" i="6"/>
  <c r="I23" i="6"/>
  <c r="J23" i="6"/>
  <c r="K23" i="6"/>
  <c r="L23" i="6"/>
  <c r="M23" i="6"/>
  <c r="N23" i="6"/>
  <c r="D33" i="6"/>
  <c r="H33" i="6"/>
  <c r="L33" i="6"/>
  <c r="C34" i="6"/>
  <c r="G34" i="6"/>
  <c r="K34" i="6"/>
  <c r="D36" i="6"/>
  <c r="H36" i="6"/>
  <c r="I36" i="6"/>
  <c r="L36" i="6"/>
  <c r="D40" i="6"/>
  <c r="E40" i="6"/>
  <c r="H40" i="6"/>
  <c r="I40" i="6"/>
  <c r="L40" i="6"/>
  <c r="M40" i="6"/>
  <c r="D41" i="6"/>
  <c r="H41" i="6"/>
  <c r="L41" i="6"/>
  <c r="E49" i="6"/>
  <c r="F49" i="6"/>
  <c r="I49" i="6"/>
  <c r="J49" i="6"/>
  <c r="M49" i="6"/>
  <c r="N49" i="6"/>
  <c r="E50" i="6"/>
  <c r="I50" i="6"/>
  <c r="M50" i="6"/>
  <c r="G51" i="6"/>
  <c r="H51" i="6"/>
  <c r="C52" i="6"/>
  <c r="F52" i="6"/>
  <c r="J52" i="6"/>
  <c r="K52" i="6"/>
  <c r="N52" i="6"/>
  <c r="H56" i="6"/>
  <c r="I56" i="6"/>
  <c r="C57" i="6"/>
  <c r="D57" i="6"/>
  <c r="G57" i="6"/>
  <c r="K57" i="6"/>
  <c r="L57" i="6"/>
  <c r="C58" i="6"/>
  <c r="F58" i="6"/>
  <c r="G58" i="6"/>
  <c r="J58" i="6"/>
  <c r="K58" i="6"/>
  <c r="N58" i="6"/>
  <c r="F59" i="6"/>
  <c r="J59" i="6"/>
  <c r="N59" i="6"/>
  <c r="D60" i="6"/>
  <c r="E60" i="6"/>
  <c r="L60" i="6"/>
  <c r="M60" i="6"/>
  <c r="H69" i="6"/>
  <c r="I69" i="6"/>
  <c r="J69" i="6"/>
  <c r="L69" i="6"/>
  <c r="M69" i="6"/>
  <c r="N69" i="6"/>
  <c r="C70" i="6"/>
  <c r="G70" i="6"/>
  <c r="H70" i="6"/>
  <c r="K70" i="6"/>
  <c r="C71" i="6"/>
  <c r="F71" i="6"/>
  <c r="G71" i="6"/>
  <c r="J71" i="6"/>
  <c r="K71" i="6"/>
  <c r="N71" i="6"/>
  <c r="E8" i="9"/>
  <c r="E9" i="9"/>
  <c r="E10" i="9"/>
  <c r="E11" i="9"/>
  <c r="E18" i="9"/>
  <c r="E12" i="9"/>
  <c r="E13" i="9"/>
  <c r="E14" i="9"/>
  <c r="E15" i="9"/>
  <c r="E16" i="9"/>
  <c r="E17" i="9"/>
  <c r="C18" i="9"/>
  <c r="D18" i="9"/>
  <c r="C26" i="9"/>
  <c r="D26" i="9"/>
  <c r="E26" i="9"/>
  <c r="E29" i="9"/>
  <c r="E30" i="9"/>
  <c r="C30" i="9"/>
  <c r="E34" i="9"/>
  <c r="E35" i="9"/>
  <c r="E36" i="9"/>
  <c r="E37" i="9"/>
  <c r="E39" i="9"/>
  <c r="E40" i="9"/>
  <c r="E41" i="9"/>
  <c r="E42" i="9"/>
  <c r="E44" i="9"/>
  <c r="E45" i="9"/>
  <c r="C46" i="9"/>
  <c r="D46" i="9"/>
  <c r="E46" i="9"/>
  <c r="E49" i="9"/>
  <c r="E50" i="9"/>
  <c r="E51" i="9"/>
  <c r="E52" i="9"/>
  <c r="C53" i="9"/>
  <c r="D53" i="9"/>
  <c r="E56" i="9"/>
  <c r="E57" i="9"/>
  <c r="E58" i="9"/>
  <c r="E59" i="9"/>
  <c r="E60" i="9"/>
  <c r="C61" i="9"/>
  <c r="D61" i="9"/>
  <c r="E64" i="9"/>
  <c r="E65" i="9"/>
  <c r="C65" i="9"/>
  <c r="C72" i="9"/>
  <c r="C74" i="9"/>
  <c r="D65" i="9"/>
  <c r="E68" i="9"/>
  <c r="E69" i="9"/>
  <c r="C70" i="9"/>
  <c r="D70" i="9"/>
  <c r="D72" i="9"/>
  <c r="E70" i="9"/>
  <c r="D74" i="9"/>
  <c r="D10" i="1"/>
  <c r="I10" i="1"/>
  <c r="E10" i="1"/>
  <c r="F10" i="1"/>
  <c r="C11" i="1"/>
  <c r="E11" i="1"/>
  <c r="F11" i="1"/>
  <c r="G11" i="1"/>
  <c r="C12" i="1"/>
  <c r="D12" i="1"/>
  <c r="I12" i="1"/>
  <c r="E12" i="1"/>
  <c r="G12" i="1"/>
  <c r="C13" i="1"/>
  <c r="I13" i="1"/>
  <c r="D13" i="1"/>
  <c r="F13" i="1"/>
  <c r="G13" i="1"/>
  <c r="D14" i="1"/>
  <c r="I14" i="1"/>
  <c r="E14" i="1"/>
  <c r="F14" i="1"/>
  <c r="C15" i="1"/>
  <c r="I15" i="1"/>
  <c r="E15" i="1"/>
  <c r="F15" i="1"/>
  <c r="G15" i="1"/>
  <c r="C16" i="1"/>
  <c r="D16" i="1"/>
  <c r="E16" i="1"/>
  <c r="G16" i="1"/>
  <c r="I16" i="1"/>
  <c r="C41" i="1"/>
  <c r="C68" i="1"/>
  <c r="C70" i="1"/>
  <c r="O16" i="10"/>
  <c r="O27" i="10"/>
  <c r="O173" i="10"/>
  <c r="O174" i="10"/>
  <c r="O175" i="10"/>
  <c r="O176" i="10"/>
  <c r="O177" i="10"/>
  <c r="O183" i="10"/>
  <c r="O184" i="10"/>
  <c r="O185" i="10"/>
  <c r="O186" i="10"/>
  <c r="O187" i="10"/>
  <c r="O193" i="10"/>
  <c r="C194" i="10"/>
  <c r="F37" i="8"/>
  <c r="D194" i="10"/>
  <c r="E194" i="10"/>
  <c r="F194" i="10"/>
  <c r="G194" i="10"/>
  <c r="H194" i="10"/>
  <c r="K37" i="8"/>
  <c r="I194" i="10"/>
  <c r="J194" i="10"/>
  <c r="K194" i="10"/>
  <c r="L194" i="10"/>
  <c r="O37" i="8"/>
  <c r="M194" i="10"/>
  <c r="N194" i="10"/>
  <c r="C195" i="10"/>
  <c r="R37" i="8"/>
  <c r="D195" i="10"/>
  <c r="E195" i="10"/>
  <c r="F195" i="10"/>
  <c r="U37" i="8"/>
  <c r="G195" i="10"/>
  <c r="V37" i="8"/>
  <c r="H195" i="10"/>
  <c r="I195" i="10"/>
  <c r="J195" i="10"/>
  <c r="Y37" i="8"/>
  <c r="Y66" i="8"/>
  <c r="K195" i="10"/>
  <c r="Z37" i="8"/>
  <c r="L195" i="10"/>
  <c r="M195" i="10"/>
  <c r="N195" i="10"/>
  <c r="AC37" i="8"/>
  <c r="O195" i="10"/>
  <c r="C196" i="10"/>
  <c r="D196" i="10"/>
  <c r="E196" i="10"/>
  <c r="AF37" i="8"/>
  <c r="F196" i="10"/>
  <c r="G196" i="10"/>
  <c r="H196" i="10"/>
  <c r="I196" i="10"/>
  <c r="AJ37" i="8"/>
  <c r="J196" i="10"/>
  <c r="AK37" i="8"/>
  <c r="K196" i="10"/>
  <c r="L196" i="10"/>
  <c r="M196" i="10"/>
  <c r="AN37" i="8"/>
  <c r="N196" i="10"/>
  <c r="AO37" i="8"/>
  <c r="C197" i="10"/>
  <c r="D197" i="10"/>
  <c r="E197" i="10"/>
  <c r="AR37" i="8"/>
  <c r="F197" i="10"/>
  <c r="G197" i="10"/>
  <c r="H197" i="10"/>
  <c r="AU37" i="8"/>
  <c r="I197" i="10"/>
  <c r="AV37" i="8"/>
  <c r="J197" i="10"/>
  <c r="K197" i="10"/>
  <c r="L197" i="10"/>
  <c r="AY37" i="8"/>
  <c r="M197" i="10"/>
  <c r="AZ37" i="8"/>
  <c r="N197" i="10"/>
  <c r="C215" i="10"/>
  <c r="F49" i="8"/>
  <c r="D215" i="10"/>
  <c r="G49" i="8"/>
  <c r="E215" i="10"/>
  <c r="F215" i="10"/>
  <c r="G215" i="10"/>
  <c r="J49" i="8"/>
  <c r="H215" i="10"/>
  <c r="K49" i="8"/>
  <c r="I215" i="10"/>
  <c r="J215" i="10"/>
  <c r="K215" i="10"/>
  <c r="N49" i="8"/>
  <c r="L215" i="10"/>
  <c r="O49" i="8"/>
  <c r="M215" i="10"/>
  <c r="N215" i="10"/>
  <c r="C216" i="10"/>
  <c r="R49" i="8"/>
  <c r="D216" i="10"/>
  <c r="S49" i="8"/>
  <c r="E216" i="10"/>
  <c r="F216" i="10"/>
  <c r="G216" i="10"/>
  <c r="V49" i="8"/>
  <c r="H216" i="10"/>
  <c r="W49" i="8"/>
  <c r="I216" i="10"/>
  <c r="J216" i="10"/>
  <c r="K216" i="10"/>
  <c r="Z49" i="8"/>
  <c r="L216" i="10"/>
  <c r="AA49" i="8"/>
  <c r="M216" i="10"/>
  <c r="N216" i="10"/>
  <c r="C217" i="10"/>
  <c r="AD49" i="8"/>
  <c r="D217" i="10"/>
  <c r="AE49" i="8"/>
  <c r="E217" i="10"/>
  <c r="F217" i="10"/>
  <c r="G217" i="10"/>
  <c r="AH49" i="8"/>
  <c r="H217" i="10"/>
  <c r="AI49" i="8"/>
  <c r="I217" i="10"/>
  <c r="J217" i="10"/>
  <c r="K217" i="10"/>
  <c r="AL49" i="8"/>
  <c r="L217" i="10"/>
  <c r="AM49" i="8"/>
  <c r="M217" i="10"/>
  <c r="N217" i="10"/>
  <c r="C218" i="10"/>
  <c r="AP49" i="8"/>
  <c r="D218" i="10"/>
  <c r="AQ49" i="8"/>
  <c r="E218" i="10"/>
  <c r="F218" i="10"/>
  <c r="G218" i="10"/>
  <c r="AT49" i="8"/>
  <c r="H218" i="10"/>
  <c r="AU49" i="8"/>
  <c r="I218" i="10"/>
  <c r="J218" i="10"/>
  <c r="K218" i="10"/>
  <c r="AX49" i="8"/>
  <c r="L218" i="10"/>
  <c r="AY49" i="8"/>
  <c r="M218" i="10"/>
  <c r="N218" i="10"/>
  <c r="C219" i="10"/>
  <c r="D219" i="10"/>
  <c r="E219" i="10"/>
  <c r="F219" i="10"/>
  <c r="G219" i="10"/>
  <c r="H219" i="10"/>
  <c r="I219" i="10"/>
  <c r="J219" i="10"/>
  <c r="K219" i="10"/>
  <c r="L219" i="10"/>
  <c r="M219" i="10"/>
  <c r="N219" i="10"/>
  <c r="O219" i="10"/>
  <c r="C226" i="10"/>
  <c r="D226" i="10"/>
  <c r="E226" i="10"/>
  <c r="F226" i="10"/>
  <c r="G226" i="10"/>
  <c r="H226" i="10"/>
  <c r="I226" i="10"/>
  <c r="J226" i="10"/>
  <c r="K226" i="10"/>
  <c r="L226" i="10"/>
  <c r="M226" i="10"/>
  <c r="N226" i="10"/>
  <c r="C227" i="10"/>
  <c r="D227" i="10"/>
  <c r="E227" i="10"/>
  <c r="F227" i="10"/>
  <c r="G227" i="10"/>
  <c r="H227" i="10"/>
  <c r="I227" i="10"/>
  <c r="J227" i="10"/>
  <c r="K227" i="10"/>
  <c r="L227" i="10"/>
  <c r="M227" i="10"/>
  <c r="N227" i="10"/>
  <c r="C228" i="10"/>
  <c r="D228" i="10"/>
  <c r="E228" i="10"/>
  <c r="F228" i="10"/>
  <c r="AG51" i="8"/>
  <c r="G228" i="10"/>
  <c r="H228" i="10"/>
  <c r="I228" i="10"/>
  <c r="J228" i="10"/>
  <c r="AK51" i="8"/>
  <c r="K228" i="10"/>
  <c r="L228" i="10"/>
  <c r="M228" i="10"/>
  <c r="N228" i="10"/>
  <c r="AO51" i="8"/>
  <c r="C229" i="10"/>
  <c r="D229" i="10"/>
  <c r="E229" i="10"/>
  <c r="F229" i="10"/>
  <c r="AS51" i="8"/>
  <c r="G229" i="10"/>
  <c r="H229" i="10"/>
  <c r="I229" i="10"/>
  <c r="J229" i="10"/>
  <c r="AW51" i="8"/>
  <c r="K229" i="10"/>
  <c r="L229" i="10"/>
  <c r="M229" i="10"/>
  <c r="N229" i="10"/>
  <c r="BA51" i="8"/>
  <c r="C236" i="10"/>
  <c r="D236" i="10"/>
  <c r="E236" i="10"/>
  <c r="F236" i="10"/>
  <c r="G236" i="10"/>
  <c r="H236" i="10"/>
  <c r="I236" i="10"/>
  <c r="J236" i="10"/>
  <c r="K236" i="10"/>
  <c r="L236" i="10"/>
  <c r="M236" i="10"/>
  <c r="N236" i="10"/>
  <c r="C237" i="10"/>
  <c r="D237" i="10"/>
  <c r="E237" i="10"/>
  <c r="F237" i="10"/>
  <c r="G237" i="10"/>
  <c r="H237" i="10"/>
  <c r="I237" i="10"/>
  <c r="J237" i="10"/>
  <c r="K237" i="10"/>
  <c r="L237" i="10"/>
  <c r="M237" i="10"/>
  <c r="N237" i="10"/>
  <c r="C238" i="10"/>
  <c r="D238" i="10"/>
  <c r="E238" i="10"/>
  <c r="F238" i="10"/>
  <c r="G238" i="10"/>
  <c r="H238" i="10"/>
  <c r="I238" i="10"/>
  <c r="J238" i="10"/>
  <c r="K238" i="10"/>
  <c r="L238" i="10"/>
  <c r="M238" i="10"/>
  <c r="N238" i="10"/>
  <c r="C239" i="10"/>
  <c r="D239" i="10"/>
  <c r="E239" i="10"/>
  <c r="F239" i="10"/>
  <c r="G239" i="10"/>
  <c r="H239" i="10"/>
  <c r="I239" i="10"/>
  <c r="J239" i="10"/>
  <c r="K239" i="10"/>
  <c r="L239" i="10"/>
  <c r="M239" i="10"/>
  <c r="N239" i="10"/>
  <c r="C247" i="10"/>
  <c r="D247" i="10"/>
  <c r="E247" i="10"/>
  <c r="F247" i="10"/>
  <c r="G247" i="10"/>
  <c r="H247" i="10"/>
  <c r="I247" i="10"/>
  <c r="J247" i="10"/>
  <c r="K247" i="10"/>
  <c r="L247" i="10"/>
  <c r="M247" i="10"/>
  <c r="N247" i="10"/>
  <c r="C248" i="10"/>
  <c r="D248" i="10"/>
  <c r="E248" i="10"/>
  <c r="F248" i="10"/>
  <c r="G248" i="10"/>
  <c r="H248" i="10"/>
  <c r="I248" i="10"/>
  <c r="J248" i="10"/>
  <c r="K248" i="10"/>
  <c r="L248" i="10"/>
  <c r="M248" i="10"/>
  <c r="N248" i="10"/>
  <c r="C249" i="10"/>
  <c r="D249" i="10"/>
  <c r="E249" i="10"/>
  <c r="F249" i="10"/>
  <c r="G249" i="10"/>
  <c r="H249" i="10"/>
  <c r="I249" i="10"/>
  <c r="J249" i="10"/>
  <c r="K249" i="10"/>
  <c r="L249" i="10"/>
  <c r="M249" i="10"/>
  <c r="N249" i="10"/>
  <c r="C250" i="10"/>
  <c r="D250" i="10"/>
  <c r="E250" i="10"/>
  <c r="F250" i="10"/>
  <c r="G250" i="10"/>
  <c r="H250" i="10"/>
  <c r="I250" i="10"/>
  <c r="J250" i="10"/>
  <c r="K250" i="10"/>
  <c r="L250" i="10"/>
  <c r="M250" i="10"/>
  <c r="N250" i="10"/>
  <c r="C251" i="10"/>
  <c r="D251" i="10"/>
  <c r="E251" i="10"/>
  <c r="F251" i="10"/>
  <c r="O251" i="10"/>
  <c r="G251" i="10"/>
  <c r="H251" i="10"/>
  <c r="I251" i="10"/>
  <c r="J251" i="10"/>
  <c r="K251" i="10"/>
  <c r="L251" i="10"/>
  <c r="M251" i="10"/>
  <c r="N251" i="10"/>
  <c r="C258" i="10"/>
  <c r="D258" i="10"/>
  <c r="E258" i="10"/>
  <c r="H57" i="8"/>
  <c r="F258" i="10"/>
  <c r="G258" i="10"/>
  <c r="H258" i="10"/>
  <c r="I258" i="10"/>
  <c r="L57" i="8"/>
  <c r="J258" i="10"/>
  <c r="K258" i="10"/>
  <c r="L258" i="10"/>
  <c r="M258" i="10"/>
  <c r="P57" i="8"/>
  <c r="N258" i="10"/>
  <c r="C259" i="10"/>
  <c r="D259" i="10"/>
  <c r="E259" i="10"/>
  <c r="T57" i="8"/>
  <c r="F259" i="10"/>
  <c r="G259" i="10"/>
  <c r="H259" i="10"/>
  <c r="I259" i="10"/>
  <c r="X57" i="8"/>
  <c r="J259" i="10"/>
  <c r="K259" i="10"/>
  <c r="L259" i="10"/>
  <c r="M259" i="10"/>
  <c r="AB57" i="8"/>
  <c r="N259" i="10"/>
  <c r="C260" i="10"/>
  <c r="D260" i="10"/>
  <c r="E260" i="10"/>
  <c r="AF57" i="8"/>
  <c r="F260" i="10"/>
  <c r="G260" i="10"/>
  <c r="H260" i="10"/>
  <c r="I260" i="10"/>
  <c r="AJ57" i="8"/>
  <c r="J260" i="10"/>
  <c r="K260" i="10"/>
  <c r="L260" i="10"/>
  <c r="M260" i="10"/>
  <c r="AN57" i="8"/>
  <c r="N260" i="10"/>
  <c r="C261" i="10"/>
  <c r="D261" i="10"/>
  <c r="E261" i="10"/>
  <c r="AR57" i="8"/>
  <c r="F261" i="10"/>
  <c r="G261" i="10"/>
  <c r="H261" i="10"/>
  <c r="I261" i="10"/>
  <c r="AV57" i="8"/>
  <c r="J261" i="10"/>
  <c r="K261" i="10"/>
  <c r="L261" i="10"/>
  <c r="M261" i="10"/>
  <c r="AZ57" i="8"/>
  <c r="N261" i="10"/>
  <c r="C268" i="10"/>
  <c r="D268" i="10"/>
  <c r="E268" i="10"/>
  <c r="H58" i="8"/>
  <c r="F268" i="10"/>
  <c r="G268" i="10"/>
  <c r="H268" i="10"/>
  <c r="I268" i="10"/>
  <c r="L58" i="8"/>
  <c r="J268" i="10"/>
  <c r="K268" i="10"/>
  <c r="L268" i="10"/>
  <c r="M268" i="10"/>
  <c r="P58" i="8"/>
  <c r="N268" i="10"/>
  <c r="C269" i="10"/>
  <c r="D269" i="10"/>
  <c r="E269" i="10"/>
  <c r="T58" i="8"/>
  <c r="F269" i="10"/>
  <c r="G269" i="10"/>
  <c r="H269" i="10"/>
  <c r="I269" i="10"/>
  <c r="X58" i="8"/>
  <c r="J269" i="10"/>
  <c r="K269" i="10"/>
  <c r="L269" i="10"/>
  <c r="M269" i="10"/>
  <c r="AB58" i="8"/>
  <c r="N269" i="10"/>
  <c r="C270" i="10"/>
  <c r="D270" i="10"/>
  <c r="E270" i="10"/>
  <c r="AF58" i="8"/>
  <c r="F270" i="10"/>
  <c r="G270" i="10"/>
  <c r="H270" i="10"/>
  <c r="I270" i="10"/>
  <c r="AJ58" i="8"/>
  <c r="J270" i="10"/>
  <c r="K270" i="10"/>
  <c r="L270" i="10"/>
  <c r="M270" i="10"/>
  <c r="AN58" i="8"/>
  <c r="N270" i="10"/>
  <c r="C271" i="10"/>
  <c r="D271" i="10"/>
  <c r="E271" i="10"/>
  <c r="AR58" i="8"/>
  <c r="F271" i="10"/>
  <c r="G271" i="10"/>
  <c r="H271" i="10"/>
  <c r="I271" i="10"/>
  <c r="AV58" i="8"/>
  <c r="J271" i="10"/>
  <c r="K271" i="10"/>
  <c r="L271" i="10"/>
  <c r="M271" i="10"/>
  <c r="AZ58" i="8"/>
  <c r="N271" i="10"/>
  <c r="O355" i="10"/>
  <c r="O356" i="10"/>
  <c r="O357" i="10"/>
  <c r="O358" i="10"/>
  <c r="O359" i="10"/>
  <c r="O365" i="10"/>
  <c r="O366" i="10"/>
  <c r="O367" i="10"/>
  <c r="O368" i="10"/>
  <c r="O369" i="10"/>
  <c r="L375" i="10"/>
  <c r="O375" i="10"/>
  <c r="M375" i="10"/>
  <c r="N375" i="10"/>
  <c r="C376" i="10"/>
  <c r="D376" i="10"/>
  <c r="E376" i="10"/>
  <c r="F376" i="10"/>
  <c r="G376" i="10"/>
  <c r="H376" i="10"/>
  <c r="I376" i="10"/>
  <c r="J376" i="10"/>
  <c r="K376" i="10"/>
  <c r="L376" i="10"/>
  <c r="M376" i="10"/>
  <c r="N376" i="10"/>
  <c r="O376" i="10"/>
  <c r="C377" i="10"/>
  <c r="D377" i="10"/>
  <c r="E377" i="10"/>
  <c r="F377" i="10"/>
  <c r="G377" i="10"/>
  <c r="H377" i="10"/>
  <c r="I377" i="10"/>
  <c r="J377" i="10"/>
  <c r="K377" i="10"/>
  <c r="L377" i="10"/>
  <c r="M377" i="10"/>
  <c r="N377" i="10"/>
  <c r="C378" i="10"/>
  <c r="D378" i="10"/>
  <c r="E378" i="10"/>
  <c r="F378" i="10"/>
  <c r="G378" i="10"/>
  <c r="H378" i="10"/>
  <c r="I378" i="10"/>
  <c r="J378" i="10"/>
  <c r="K378" i="10"/>
  <c r="L378" i="10"/>
  <c r="M378" i="10"/>
  <c r="N378" i="10"/>
  <c r="C379" i="10"/>
  <c r="D379" i="10"/>
  <c r="E379" i="10"/>
  <c r="F379" i="10"/>
  <c r="G379" i="10"/>
  <c r="H379" i="10"/>
  <c r="I379" i="10"/>
  <c r="J379" i="10"/>
  <c r="K379" i="10"/>
  <c r="L379" i="10"/>
  <c r="M379" i="10"/>
  <c r="N379" i="10"/>
  <c r="C10" i="8"/>
  <c r="C12" i="8"/>
  <c r="D10" i="8"/>
  <c r="D12" i="8"/>
  <c r="F10" i="8"/>
  <c r="E10" i="8"/>
  <c r="E12" i="8"/>
  <c r="E39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R10" i="8"/>
  <c r="AS10" i="8"/>
  <c r="AT10" i="8"/>
  <c r="AU10" i="8"/>
  <c r="AV10" i="8"/>
  <c r="AW10" i="8"/>
  <c r="AX10" i="8"/>
  <c r="AY10" i="8"/>
  <c r="AZ10" i="8"/>
  <c r="BA10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AU11" i="8"/>
  <c r="AV11" i="8"/>
  <c r="AW11" i="8"/>
  <c r="AX11" i="8"/>
  <c r="AY11" i="8"/>
  <c r="AZ11" i="8"/>
  <c r="BA11" i="8"/>
  <c r="F12" i="8"/>
  <c r="I12" i="8"/>
  <c r="J12" i="8"/>
  <c r="M12" i="8"/>
  <c r="N12" i="8"/>
  <c r="Q12" i="8"/>
  <c r="R12" i="8"/>
  <c r="U12" i="8"/>
  <c r="V12" i="8"/>
  <c r="Y12" i="8"/>
  <c r="Z12" i="8"/>
  <c r="AC12" i="8"/>
  <c r="AD12" i="8"/>
  <c r="AG12" i="8"/>
  <c r="AH12" i="8"/>
  <c r="AK12" i="8"/>
  <c r="AL12" i="8"/>
  <c r="AO12" i="8"/>
  <c r="AP12" i="8"/>
  <c r="AS12" i="8"/>
  <c r="AT12" i="8"/>
  <c r="AW12" i="8"/>
  <c r="AX12" i="8"/>
  <c r="BA12" i="8"/>
  <c r="C14" i="8"/>
  <c r="D14" i="8"/>
  <c r="F14" i="8"/>
  <c r="G14" i="8"/>
  <c r="G16" i="8"/>
  <c r="G27" i="8"/>
  <c r="H14" i="8"/>
  <c r="I14" i="8"/>
  <c r="J14" i="8"/>
  <c r="J16" i="8"/>
  <c r="K14" i="8"/>
  <c r="K16" i="8"/>
  <c r="K27" i="8"/>
  <c r="K40" i="8"/>
  <c r="L14" i="8"/>
  <c r="M14" i="8"/>
  <c r="N14" i="8"/>
  <c r="N16" i="8"/>
  <c r="O14" i="8"/>
  <c r="O16" i="8"/>
  <c r="O27" i="8"/>
  <c r="P14" i="8"/>
  <c r="Q14" i="8"/>
  <c r="R14" i="8"/>
  <c r="R16" i="8"/>
  <c r="S14" i="8"/>
  <c r="S16" i="8"/>
  <c r="S27" i="8"/>
  <c r="S40" i="8"/>
  <c r="T14" i="8"/>
  <c r="U14" i="8"/>
  <c r="V14" i="8"/>
  <c r="V16" i="8"/>
  <c r="W14" i="8"/>
  <c r="W16" i="8"/>
  <c r="W27" i="8"/>
  <c r="X14" i="8"/>
  <c r="Y14" i="8"/>
  <c r="Z14" i="8"/>
  <c r="Z16" i="8"/>
  <c r="AA14" i="8"/>
  <c r="AA16" i="8"/>
  <c r="AA27" i="8"/>
  <c r="AA40" i="8"/>
  <c r="AB14" i="8"/>
  <c r="AC14" i="8"/>
  <c r="AD14" i="8"/>
  <c r="AD16" i="8"/>
  <c r="AE14" i="8"/>
  <c r="AE16" i="8"/>
  <c r="AE27" i="8"/>
  <c r="AF14" i="8"/>
  <c r="AG14" i="8"/>
  <c r="AH14" i="8"/>
  <c r="AH16" i="8"/>
  <c r="AI14" i="8"/>
  <c r="AI16" i="8"/>
  <c r="AI27" i="8"/>
  <c r="AI40" i="8"/>
  <c r="AJ14" i="8"/>
  <c r="AK14" i="8"/>
  <c r="AL14" i="8"/>
  <c r="AL16" i="8"/>
  <c r="AM14" i="8"/>
  <c r="AM16" i="8"/>
  <c r="AM27" i="8"/>
  <c r="AN14" i="8"/>
  <c r="AO14" i="8"/>
  <c r="AP14" i="8"/>
  <c r="AP16" i="8"/>
  <c r="AQ14" i="8"/>
  <c r="AQ16" i="8"/>
  <c r="AQ27" i="8"/>
  <c r="AR14" i="8"/>
  <c r="AS14" i="8"/>
  <c r="AT14" i="8"/>
  <c r="AT16" i="8"/>
  <c r="AU14" i="8"/>
  <c r="AU16" i="8"/>
  <c r="AU27" i="8"/>
  <c r="AV14" i="8"/>
  <c r="AW14" i="8"/>
  <c r="AX14" i="8"/>
  <c r="AX16" i="8"/>
  <c r="AY14" i="8"/>
  <c r="AY16" i="8"/>
  <c r="AY27" i="8"/>
  <c r="AY40" i="8"/>
  <c r="AZ14" i="8"/>
  <c r="BA14" i="8"/>
  <c r="C15" i="8"/>
  <c r="D15" i="8"/>
  <c r="F15" i="8"/>
  <c r="E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D16" i="8"/>
  <c r="D27" i="8"/>
  <c r="H16" i="8"/>
  <c r="I16" i="8"/>
  <c r="L16" i="8"/>
  <c r="L27" i="8"/>
  <c r="L40" i="8"/>
  <c r="M16" i="8"/>
  <c r="P16" i="8"/>
  <c r="Q16" i="8"/>
  <c r="T16" i="8"/>
  <c r="T27" i="8"/>
  <c r="T40" i="8"/>
  <c r="U16" i="8"/>
  <c r="X16" i="8"/>
  <c r="Y16" i="8"/>
  <c r="AB16" i="8"/>
  <c r="AB27" i="8"/>
  <c r="AB40" i="8"/>
  <c r="AC16" i="8"/>
  <c r="AF16" i="8"/>
  <c r="AG16" i="8"/>
  <c r="AJ16" i="8"/>
  <c r="AJ27" i="8"/>
  <c r="AJ40" i="8"/>
  <c r="AK16" i="8"/>
  <c r="AN16" i="8"/>
  <c r="AO16" i="8"/>
  <c r="AR16" i="8"/>
  <c r="AR27" i="8"/>
  <c r="AR40" i="8"/>
  <c r="AS16" i="8"/>
  <c r="AV16" i="8"/>
  <c r="AW16" i="8"/>
  <c r="AZ16" i="8"/>
  <c r="AZ27" i="8"/>
  <c r="AZ40" i="8"/>
  <c r="BA16" i="8"/>
  <c r="C17" i="8"/>
  <c r="D17" i="8"/>
  <c r="D25" i="8"/>
  <c r="E17" i="8"/>
  <c r="F17" i="8"/>
  <c r="G17" i="8"/>
  <c r="H17" i="8"/>
  <c r="H25" i="8"/>
  <c r="H33" i="8"/>
  <c r="H44" i="8"/>
  <c r="I17" i="8"/>
  <c r="J17" i="8"/>
  <c r="K17" i="8"/>
  <c r="L17" i="8"/>
  <c r="L25" i="8"/>
  <c r="M17" i="8"/>
  <c r="N17" i="8"/>
  <c r="O17" i="8"/>
  <c r="P17" i="8"/>
  <c r="P25" i="8"/>
  <c r="P33" i="8"/>
  <c r="P44" i="8"/>
  <c r="Q17" i="8"/>
  <c r="Q27" i="8"/>
  <c r="Q40" i="8"/>
  <c r="R17" i="8"/>
  <c r="S17" i="8"/>
  <c r="T17" i="8"/>
  <c r="T25" i="8"/>
  <c r="U17" i="8"/>
  <c r="V17" i="8"/>
  <c r="W17" i="8"/>
  <c r="X17" i="8"/>
  <c r="X25" i="8"/>
  <c r="X33" i="8"/>
  <c r="Y17" i="8"/>
  <c r="Z17" i="8"/>
  <c r="AA17" i="8"/>
  <c r="AB17" i="8"/>
  <c r="AB25" i="8"/>
  <c r="AC17" i="8"/>
  <c r="AD17" i="8"/>
  <c r="AE17" i="8"/>
  <c r="AF17" i="8"/>
  <c r="AF25" i="8"/>
  <c r="AF33" i="8"/>
  <c r="AF44" i="8"/>
  <c r="AG17" i="8"/>
  <c r="AG27" i="8"/>
  <c r="AG40" i="8"/>
  <c r="AH17" i="8"/>
  <c r="AI17" i="8"/>
  <c r="AJ17" i="8"/>
  <c r="AJ25" i="8"/>
  <c r="AK17" i="8"/>
  <c r="AL17" i="8"/>
  <c r="AM17" i="8"/>
  <c r="AN17" i="8"/>
  <c r="AN25" i="8"/>
  <c r="AN33" i="8"/>
  <c r="AN44" i="8"/>
  <c r="AO17" i="8"/>
  <c r="AP17" i="8"/>
  <c r="AQ17" i="8"/>
  <c r="AR17" i="8"/>
  <c r="AR25" i="8"/>
  <c r="AS17" i="8"/>
  <c r="AT17" i="8"/>
  <c r="AU17" i="8"/>
  <c r="AV17" i="8"/>
  <c r="AV25" i="8"/>
  <c r="AV33" i="8"/>
  <c r="AV44" i="8"/>
  <c r="AW17" i="8"/>
  <c r="AW27" i="8"/>
  <c r="AW40" i="8"/>
  <c r="AX17" i="8"/>
  <c r="AY17" i="8"/>
  <c r="AZ17" i="8"/>
  <c r="AZ25" i="8"/>
  <c r="BA17" i="8"/>
  <c r="C20" i="8"/>
  <c r="D20" i="8"/>
  <c r="F20" i="8"/>
  <c r="G20" i="8"/>
  <c r="H20" i="8"/>
  <c r="I20" i="8"/>
  <c r="J20" i="8"/>
  <c r="J22" i="8"/>
  <c r="J31" i="8"/>
  <c r="J41" i="8"/>
  <c r="K20" i="8"/>
  <c r="L20" i="8"/>
  <c r="M20" i="8"/>
  <c r="N20" i="8"/>
  <c r="N22" i="8"/>
  <c r="N31" i="8"/>
  <c r="O20" i="8"/>
  <c r="P20" i="8"/>
  <c r="Q20" i="8"/>
  <c r="R20" i="8"/>
  <c r="R22" i="8"/>
  <c r="R31" i="8"/>
  <c r="R41" i="8"/>
  <c r="S20" i="8"/>
  <c r="T20" i="8"/>
  <c r="U20" i="8"/>
  <c r="V20" i="8"/>
  <c r="V22" i="8"/>
  <c r="V31" i="8"/>
  <c r="W20" i="8"/>
  <c r="X20" i="8"/>
  <c r="Y20" i="8"/>
  <c r="Z20" i="8"/>
  <c r="Z22" i="8"/>
  <c r="Z31" i="8"/>
  <c r="Z41" i="8"/>
  <c r="AA20" i="8"/>
  <c r="AB20" i="8"/>
  <c r="AC20" i="8"/>
  <c r="AD20" i="8"/>
  <c r="AD22" i="8"/>
  <c r="AD31" i="8"/>
  <c r="AE20" i="8"/>
  <c r="AF20" i="8"/>
  <c r="AG20" i="8"/>
  <c r="AH20" i="8"/>
  <c r="AH22" i="8"/>
  <c r="AH31" i="8"/>
  <c r="AH41" i="8"/>
  <c r="AI20" i="8"/>
  <c r="AJ20" i="8"/>
  <c r="AK20" i="8"/>
  <c r="AL20" i="8"/>
  <c r="AL22" i="8"/>
  <c r="AL31" i="8"/>
  <c r="AM20" i="8"/>
  <c r="AN20" i="8"/>
  <c r="AO20" i="8"/>
  <c r="AP20" i="8"/>
  <c r="AP22" i="8"/>
  <c r="AP31" i="8"/>
  <c r="AP41" i="8"/>
  <c r="AQ20" i="8"/>
  <c r="AR20" i="8"/>
  <c r="AS20" i="8"/>
  <c r="AT20" i="8"/>
  <c r="AT22" i="8"/>
  <c r="AT31" i="8"/>
  <c r="AU20" i="8"/>
  <c r="AV20" i="8"/>
  <c r="AW20" i="8"/>
  <c r="AX20" i="8"/>
  <c r="AX22" i="8"/>
  <c r="AX31" i="8"/>
  <c r="AX41" i="8"/>
  <c r="AY20" i="8"/>
  <c r="AZ20" i="8"/>
  <c r="BA20" i="8"/>
  <c r="C21" i="8"/>
  <c r="D21" i="8"/>
  <c r="D22" i="8"/>
  <c r="F21" i="8"/>
  <c r="E21" i="8"/>
  <c r="G21" i="8"/>
  <c r="H21" i="8"/>
  <c r="H30" i="8"/>
  <c r="I21" i="8"/>
  <c r="J21" i="8"/>
  <c r="K21" i="8"/>
  <c r="L21" i="8"/>
  <c r="L30" i="8"/>
  <c r="M21" i="8"/>
  <c r="N21" i="8"/>
  <c r="O21" i="8"/>
  <c r="P21" i="8"/>
  <c r="P30" i="8"/>
  <c r="Q21" i="8"/>
  <c r="R21" i="8"/>
  <c r="S21" i="8"/>
  <c r="T21" i="8"/>
  <c r="T30" i="8"/>
  <c r="U21" i="8"/>
  <c r="V21" i="8"/>
  <c r="W21" i="8"/>
  <c r="X21" i="8"/>
  <c r="X30" i="8"/>
  <c r="Y21" i="8"/>
  <c r="Z21" i="8"/>
  <c r="AA21" i="8"/>
  <c r="AB21" i="8"/>
  <c r="AB30" i="8"/>
  <c r="AC21" i="8"/>
  <c r="AD21" i="8"/>
  <c r="AE21" i="8"/>
  <c r="AF21" i="8"/>
  <c r="AF30" i="8"/>
  <c r="AG21" i="8"/>
  <c r="AH21" i="8"/>
  <c r="AI21" i="8"/>
  <c r="AJ21" i="8"/>
  <c r="AJ30" i="8"/>
  <c r="AK21" i="8"/>
  <c r="AL21" i="8"/>
  <c r="AM21" i="8"/>
  <c r="AN21" i="8"/>
  <c r="AN30" i="8"/>
  <c r="AO21" i="8"/>
  <c r="AP21" i="8"/>
  <c r="AQ21" i="8"/>
  <c r="AR21" i="8"/>
  <c r="AR30" i="8"/>
  <c r="AS21" i="8"/>
  <c r="AT21" i="8"/>
  <c r="AU21" i="8"/>
  <c r="AV21" i="8"/>
  <c r="AV30" i="8"/>
  <c r="AW21" i="8"/>
  <c r="AX21" i="8"/>
  <c r="AY21" i="8"/>
  <c r="AZ21" i="8"/>
  <c r="AZ30" i="8"/>
  <c r="BA21" i="8"/>
  <c r="H22" i="8"/>
  <c r="I22" i="8"/>
  <c r="I31" i="8"/>
  <c r="I41" i="8"/>
  <c r="M22" i="8"/>
  <c r="P22" i="8"/>
  <c r="Q22" i="8"/>
  <c r="Q31" i="8"/>
  <c r="Q41" i="8"/>
  <c r="U22" i="8"/>
  <c r="X22" i="8"/>
  <c r="Y22" i="8"/>
  <c r="Y31" i="8"/>
  <c r="AC22" i="8"/>
  <c r="AF22" i="8"/>
  <c r="AG22" i="8"/>
  <c r="AG31" i="8"/>
  <c r="AG41" i="8"/>
  <c r="AK22" i="8"/>
  <c r="AN22" i="8"/>
  <c r="AO22" i="8"/>
  <c r="AO31" i="8"/>
  <c r="AO41" i="8"/>
  <c r="AS22" i="8"/>
  <c r="AV22" i="8"/>
  <c r="AW22" i="8"/>
  <c r="AW31" i="8"/>
  <c r="AW41" i="8"/>
  <c r="BA22" i="8"/>
  <c r="C23" i="8"/>
  <c r="D23" i="8"/>
  <c r="E23" i="8"/>
  <c r="F23" i="8"/>
  <c r="G23" i="8"/>
  <c r="H23" i="8"/>
  <c r="I23" i="8"/>
  <c r="I30" i="8"/>
  <c r="J23" i="8"/>
  <c r="K23" i="8"/>
  <c r="L23" i="8"/>
  <c r="M23" i="8"/>
  <c r="M30" i="8"/>
  <c r="N23" i="8"/>
  <c r="O23" i="8"/>
  <c r="P23" i="8"/>
  <c r="Q23" i="8"/>
  <c r="Q30" i="8"/>
  <c r="R23" i="8"/>
  <c r="S23" i="8"/>
  <c r="T23" i="8"/>
  <c r="U23" i="8"/>
  <c r="U30" i="8"/>
  <c r="V23" i="8"/>
  <c r="W23" i="8"/>
  <c r="X23" i="8"/>
  <c r="Y23" i="8"/>
  <c r="Y30" i="8"/>
  <c r="Z23" i="8"/>
  <c r="AA23" i="8"/>
  <c r="AB23" i="8"/>
  <c r="AC23" i="8"/>
  <c r="AC30" i="8"/>
  <c r="AD23" i="8"/>
  <c r="AE23" i="8"/>
  <c r="AF23" i="8"/>
  <c r="AG23" i="8"/>
  <c r="AG30" i="8"/>
  <c r="AH23" i="8"/>
  <c r="AI23" i="8"/>
  <c r="AJ23" i="8"/>
  <c r="AK23" i="8"/>
  <c r="AK30" i="8"/>
  <c r="AL23" i="8"/>
  <c r="AM23" i="8"/>
  <c r="AN23" i="8"/>
  <c r="AO23" i="8"/>
  <c r="AO30" i="8"/>
  <c r="AP23" i="8"/>
  <c r="AQ23" i="8"/>
  <c r="AR23" i="8"/>
  <c r="AS23" i="8"/>
  <c r="AS30" i="8"/>
  <c r="AT23" i="8"/>
  <c r="AU23" i="8"/>
  <c r="AV23" i="8"/>
  <c r="AW23" i="8"/>
  <c r="AW30" i="8"/>
  <c r="AX23" i="8"/>
  <c r="AY23" i="8"/>
  <c r="AZ23" i="8"/>
  <c r="BA23" i="8"/>
  <c r="BA30" i="8"/>
  <c r="F25" i="8"/>
  <c r="G25" i="8"/>
  <c r="J25" i="8"/>
  <c r="N25" i="8"/>
  <c r="O25" i="8"/>
  <c r="R25" i="8"/>
  <c r="V25" i="8"/>
  <c r="W25" i="8"/>
  <c r="Z25" i="8"/>
  <c r="AD25" i="8"/>
  <c r="AE25" i="8"/>
  <c r="AH25" i="8"/>
  <c r="AL25" i="8"/>
  <c r="AM25" i="8"/>
  <c r="AP25" i="8"/>
  <c r="AT25" i="8"/>
  <c r="AU25" i="8"/>
  <c r="AX25" i="8"/>
  <c r="C26" i="8"/>
  <c r="C34" i="8"/>
  <c r="C45" i="8"/>
  <c r="D26" i="8"/>
  <c r="D34" i="8"/>
  <c r="G26" i="8"/>
  <c r="G34" i="8"/>
  <c r="H26" i="8"/>
  <c r="K26" i="8"/>
  <c r="L26" i="8"/>
  <c r="O26" i="8"/>
  <c r="O34" i="8"/>
  <c r="P26" i="8"/>
  <c r="S26" i="8"/>
  <c r="T26" i="8"/>
  <c r="W26" i="8"/>
  <c r="W34" i="8"/>
  <c r="W45" i="8"/>
  <c r="X26" i="8"/>
  <c r="AA26" i="8"/>
  <c r="AB26" i="8"/>
  <c r="AE26" i="8"/>
  <c r="AE34" i="8"/>
  <c r="AE45" i="8"/>
  <c r="AF26" i="8"/>
  <c r="AI26" i="8"/>
  <c r="AJ26" i="8"/>
  <c r="AM26" i="8"/>
  <c r="AM34" i="8"/>
  <c r="AM45" i="8"/>
  <c r="AN26" i="8"/>
  <c r="AQ26" i="8"/>
  <c r="AR26" i="8"/>
  <c r="AU26" i="8"/>
  <c r="AU34" i="8"/>
  <c r="AU45" i="8"/>
  <c r="AV26" i="8"/>
  <c r="AY26" i="8"/>
  <c r="AZ26" i="8"/>
  <c r="H27" i="8"/>
  <c r="H40" i="8"/>
  <c r="I27" i="8"/>
  <c r="I40" i="8"/>
  <c r="P27" i="8"/>
  <c r="P40" i="8"/>
  <c r="X27" i="8"/>
  <c r="X40" i="8"/>
  <c r="Y27" i="8"/>
  <c r="Y40" i="8"/>
  <c r="AF27" i="8"/>
  <c r="AF40" i="8"/>
  <c r="AN27" i="8"/>
  <c r="AN40" i="8"/>
  <c r="AO27" i="8"/>
  <c r="AO40" i="8"/>
  <c r="AV27" i="8"/>
  <c r="AV40" i="8"/>
  <c r="F29" i="8"/>
  <c r="E29" i="8"/>
  <c r="H29" i="8"/>
  <c r="J29" i="8"/>
  <c r="L29" i="8"/>
  <c r="M29" i="8"/>
  <c r="P29" i="8"/>
  <c r="Q29" i="8"/>
  <c r="T29" i="8"/>
  <c r="U29" i="8"/>
  <c r="V29" i="8"/>
  <c r="X29" i="8"/>
  <c r="Z29" i="8"/>
  <c r="AB29" i="8"/>
  <c r="AC29" i="8"/>
  <c r="AF29" i="8"/>
  <c r="AG29" i="8"/>
  <c r="AJ29" i="8"/>
  <c r="AK29" i="8"/>
  <c r="AL29" i="8"/>
  <c r="AN29" i="8"/>
  <c r="AP29" i="8"/>
  <c r="AR29" i="8"/>
  <c r="AS29" i="8"/>
  <c r="AV29" i="8"/>
  <c r="AW29" i="8"/>
  <c r="AZ29" i="8"/>
  <c r="BA29" i="8"/>
  <c r="F30" i="8"/>
  <c r="E30" i="8"/>
  <c r="G30" i="8"/>
  <c r="J30" i="8"/>
  <c r="K30" i="8"/>
  <c r="N30" i="8"/>
  <c r="O30" i="8"/>
  <c r="R30" i="8"/>
  <c r="S30" i="8"/>
  <c r="V30" i="8"/>
  <c r="W30" i="8"/>
  <c r="Z30" i="8"/>
  <c r="AA30" i="8"/>
  <c r="AD30" i="8"/>
  <c r="AE30" i="8"/>
  <c r="AH30" i="8"/>
  <c r="AI30" i="8"/>
  <c r="AL30" i="8"/>
  <c r="AM30" i="8"/>
  <c r="AP30" i="8"/>
  <c r="AQ30" i="8"/>
  <c r="AT30" i="8"/>
  <c r="AU30" i="8"/>
  <c r="AX30" i="8"/>
  <c r="AY30" i="8"/>
  <c r="H31" i="8"/>
  <c r="H41" i="8"/>
  <c r="P31" i="8"/>
  <c r="P41" i="8"/>
  <c r="X31" i="8"/>
  <c r="X41" i="8"/>
  <c r="AF31" i="8"/>
  <c r="AF41" i="8"/>
  <c r="AN31" i="8"/>
  <c r="AN41" i="8"/>
  <c r="AV31" i="8"/>
  <c r="AV41" i="8"/>
  <c r="D33" i="8"/>
  <c r="L33" i="8"/>
  <c r="L44" i="8"/>
  <c r="T33" i="8"/>
  <c r="T44" i="8"/>
  <c r="AB33" i="8"/>
  <c r="AB44" i="8"/>
  <c r="AJ33" i="8"/>
  <c r="AJ44" i="8"/>
  <c r="AR33" i="8"/>
  <c r="AR44" i="8"/>
  <c r="AZ33" i="8"/>
  <c r="AZ44" i="8"/>
  <c r="C37" i="8"/>
  <c r="C66" i="8"/>
  <c r="D37" i="8"/>
  <c r="H37" i="8"/>
  <c r="I37" i="8"/>
  <c r="J37" i="8"/>
  <c r="L37" i="8"/>
  <c r="M37" i="8"/>
  <c r="N37" i="8"/>
  <c r="P37" i="8"/>
  <c r="Q37" i="8"/>
  <c r="S37" i="8"/>
  <c r="T37" i="8"/>
  <c r="W37" i="8"/>
  <c r="X37" i="8"/>
  <c r="AA37" i="8"/>
  <c r="AB37" i="8"/>
  <c r="AD37" i="8"/>
  <c r="AE37" i="8"/>
  <c r="AG37" i="8"/>
  <c r="AH37" i="8"/>
  <c r="AI37" i="8"/>
  <c r="AL37" i="8"/>
  <c r="AM37" i="8"/>
  <c r="AP37" i="8"/>
  <c r="AS37" i="8"/>
  <c r="AT37" i="8"/>
  <c r="AW37" i="8"/>
  <c r="AX37" i="8"/>
  <c r="BA37" i="8"/>
  <c r="C39" i="8"/>
  <c r="R39" i="8"/>
  <c r="Z39" i="8"/>
  <c r="AH39" i="8"/>
  <c r="AP39" i="8"/>
  <c r="AX39" i="8"/>
  <c r="O40" i="8"/>
  <c r="W40" i="8"/>
  <c r="AE40" i="8"/>
  <c r="AM40" i="8"/>
  <c r="AU40" i="8"/>
  <c r="N41" i="8"/>
  <c r="V41" i="8"/>
  <c r="AD41" i="8"/>
  <c r="AT41" i="8"/>
  <c r="X44" i="8"/>
  <c r="E46" i="8"/>
  <c r="E8" i="7"/>
  <c r="C49" i="8"/>
  <c r="D49" i="8"/>
  <c r="H49" i="8"/>
  <c r="I49" i="8"/>
  <c r="L49" i="8"/>
  <c r="M49" i="8"/>
  <c r="P49" i="8"/>
  <c r="Q49" i="8"/>
  <c r="T49" i="8"/>
  <c r="U49" i="8"/>
  <c r="X49" i="8"/>
  <c r="Y49" i="8"/>
  <c r="AB49" i="8"/>
  <c r="AC49" i="8"/>
  <c r="AF49" i="8"/>
  <c r="AG49" i="8"/>
  <c r="AJ49" i="8"/>
  <c r="AK49" i="8"/>
  <c r="AN49" i="8"/>
  <c r="AO49" i="8"/>
  <c r="AR49" i="8"/>
  <c r="AS49" i="8"/>
  <c r="AV49" i="8"/>
  <c r="AW49" i="8"/>
  <c r="AZ49" i="8"/>
  <c r="BA49" i="8"/>
  <c r="C51" i="8"/>
  <c r="D51" i="8"/>
  <c r="F51" i="8"/>
  <c r="G51" i="8"/>
  <c r="G53" i="8"/>
  <c r="H51" i="8"/>
  <c r="J51" i="8"/>
  <c r="K51" i="8"/>
  <c r="L51" i="8"/>
  <c r="N51" i="8"/>
  <c r="O51" i="8"/>
  <c r="P51" i="8"/>
  <c r="R51" i="8"/>
  <c r="S51" i="8"/>
  <c r="T51" i="8"/>
  <c r="V51" i="8"/>
  <c r="W51" i="8"/>
  <c r="W53" i="8"/>
  <c r="X51" i="8"/>
  <c r="Z51" i="8"/>
  <c r="AA51" i="8"/>
  <c r="AB51" i="8"/>
  <c r="AD51" i="8"/>
  <c r="AE51" i="8"/>
  <c r="AF51" i="8"/>
  <c r="AH51" i="8"/>
  <c r="AI51" i="8"/>
  <c r="AJ51" i="8"/>
  <c r="AL51" i="8"/>
  <c r="AM51" i="8"/>
  <c r="AM53" i="8"/>
  <c r="AN51" i="8"/>
  <c r="AP51" i="8"/>
  <c r="AQ51" i="8"/>
  <c r="AR51" i="8"/>
  <c r="AT51" i="8"/>
  <c r="AU51" i="8"/>
  <c r="AV51" i="8"/>
  <c r="AX51" i="8"/>
  <c r="AY51" i="8"/>
  <c r="AZ51" i="8"/>
  <c r="C52" i="8"/>
  <c r="C53" i="8"/>
  <c r="D52" i="8"/>
  <c r="D53" i="8"/>
  <c r="G52" i="8"/>
  <c r="H52" i="8"/>
  <c r="H53" i="8"/>
  <c r="K52" i="8"/>
  <c r="L52" i="8"/>
  <c r="L53" i="8"/>
  <c r="O52" i="8"/>
  <c r="P52" i="8"/>
  <c r="P53" i="8"/>
  <c r="S52" i="8"/>
  <c r="T52" i="8"/>
  <c r="T53" i="8"/>
  <c r="W52" i="8"/>
  <c r="X52" i="8"/>
  <c r="X53" i="8"/>
  <c r="AA52" i="8"/>
  <c r="AB52" i="8"/>
  <c r="AB53" i="8"/>
  <c r="AE52" i="8"/>
  <c r="AF52" i="8"/>
  <c r="AF53" i="8"/>
  <c r="AI52" i="8"/>
  <c r="AJ52" i="8"/>
  <c r="AJ53" i="8"/>
  <c r="AM52" i="8"/>
  <c r="AN52" i="8"/>
  <c r="AN53" i="8"/>
  <c r="AQ52" i="8"/>
  <c r="AR52" i="8"/>
  <c r="AR53" i="8"/>
  <c r="AU52" i="8"/>
  <c r="AV52" i="8"/>
  <c r="AV53" i="8"/>
  <c r="AY52" i="8"/>
  <c r="AZ52" i="8"/>
  <c r="AZ53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U56" i="8"/>
  <c r="AV56" i="8"/>
  <c r="AW56" i="8"/>
  <c r="AX56" i="8"/>
  <c r="AY56" i="8"/>
  <c r="AZ56" i="8"/>
  <c r="BA56" i="8"/>
  <c r="F57" i="8"/>
  <c r="G57" i="8"/>
  <c r="I57" i="8"/>
  <c r="I62" i="8"/>
  <c r="I64" i="8"/>
  <c r="J57" i="8"/>
  <c r="K57" i="8"/>
  <c r="M57" i="8"/>
  <c r="M62" i="8"/>
  <c r="N57" i="8"/>
  <c r="N62" i="8"/>
  <c r="O57" i="8"/>
  <c r="Q57" i="8"/>
  <c r="R57" i="8"/>
  <c r="S57" i="8"/>
  <c r="U57" i="8"/>
  <c r="V57" i="8"/>
  <c r="W57" i="8"/>
  <c r="Y57" i="8"/>
  <c r="Y62" i="8"/>
  <c r="Y64" i="8"/>
  <c r="Z57" i="8"/>
  <c r="AA57" i="8"/>
  <c r="AC57" i="8"/>
  <c r="AC62" i="8"/>
  <c r="AD57" i="8"/>
  <c r="AD62" i="8"/>
  <c r="AE57" i="8"/>
  <c r="AG57" i="8"/>
  <c r="AH57" i="8"/>
  <c r="AI57" i="8"/>
  <c r="AK57" i="8"/>
  <c r="AL57" i="8"/>
  <c r="AM57" i="8"/>
  <c r="AO57" i="8"/>
  <c r="AO62" i="8"/>
  <c r="AO64" i="8"/>
  <c r="AP57" i="8"/>
  <c r="AQ57" i="8"/>
  <c r="AS57" i="8"/>
  <c r="AS62" i="8"/>
  <c r="AT57" i="8"/>
  <c r="AT62" i="8"/>
  <c r="AU57" i="8"/>
  <c r="AW57" i="8"/>
  <c r="AX57" i="8"/>
  <c r="AY57" i="8"/>
  <c r="BA57" i="8"/>
  <c r="F58" i="8"/>
  <c r="G58" i="8"/>
  <c r="I58" i="8"/>
  <c r="I63" i="8"/>
  <c r="J58" i="8"/>
  <c r="K58" i="8"/>
  <c r="M58" i="8"/>
  <c r="M63" i="8"/>
  <c r="N58" i="8"/>
  <c r="N63" i="8"/>
  <c r="O58" i="8"/>
  <c r="Q58" i="8"/>
  <c r="R58" i="8"/>
  <c r="S58" i="8"/>
  <c r="U58" i="8"/>
  <c r="V58" i="8"/>
  <c r="W58" i="8"/>
  <c r="Y58" i="8"/>
  <c r="Y63" i="8"/>
  <c r="Z58" i="8"/>
  <c r="AA58" i="8"/>
  <c r="AC58" i="8"/>
  <c r="AC63" i="8"/>
  <c r="AD58" i="8"/>
  <c r="AD63" i="8"/>
  <c r="AE58" i="8"/>
  <c r="AG58" i="8"/>
  <c r="AH58" i="8"/>
  <c r="AI58" i="8"/>
  <c r="AK58" i="8"/>
  <c r="AL58" i="8"/>
  <c r="AM58" i="8"/>
  <c r="AO58" i="8"/>
  <c r="AO63" i="8"/>
  <c r="AP58" i="8"/>
  <c r="AQ58" i="8"/>
  <c r="AS58" i="8"/>
  <c r="AS63" i="8"/>
  <c r="AT58" i="8"/>
  <c r="AT63" i="8"/>
  <c r="AU58" i="8"/>
  <c r="AW58" i="8"/>
  <c r="AX58" i="8"/>
  <c r="AY58" i="8"/>
  <c r="BA58" i="8"/>
  <c r="F61" i="8"/>
  <c r="J61" i="8"/>
  <c r="N61" i="8"/>
  <c r="R61" i="8"/>
  <c r="V61" i="8"/>
  <c r="Z61" i="8"/>
  <c r="AD61" i="8"/>
  <c r="AH61" i="8"/>
  <c r="AL61" i="8"/>
  <c r="AP61" i="8"/>
  <c r="AP64" i="8"/>
  <c r="AT61" i="8"/>
  <c r="AX61" i="8"/>
  <c r="F62" i="8"/>
  <c r="J62" i="8"/>
  <c r="R62" i="8"/>
  <c r="V62" i="8"/>
  <c r="Z62" i="8"/>
  <c r="AH62" i="8"/>
  <c r="AL62" i="8"/>
  <c r="AP62" i="8"/>
  <c r="AX62" i="8"/>
  <c r="F63" i="8"/>
  <c r="J63" i="8"/>
  <c r="R63" i="8"/>
  <c r="V63" i="8"/>
  <c r="Z63" i="8"/>
  <c r="AH63" i="8"/>
  <c r="AL63" i="8"/>
  <c r="AP63" i="8"/>
  <c r="AX63" i="8"/>
  <c r="E64" i="8"/>
  <c r="E66" i="8"/>
  <c r="E69" i="8"/>
  <c r="F66" i="8"/>
  <c r="H66" i="8"/>
  <c r="L66" i="8"/>
  <c r="M66" i="8"/>
  <c r="P66" i="8"/>
  <c r="Q66" i="8"/>
  <c r="S66" i="8"/>
  <c r="T66" i="8"/>
  <c r="U66" i="8"/>
  <c r="W66" i="8"/>
  <c r="X66" i="8"/>
  <c r="AA66" i="8"/>
  <c r="AB66" i="8"/>
  <c r="AD66" i="8"/>
  <c r="AE66" i="8"/>
  <c r="AH66" i="8"/>
  <c r="AH74" i="8"/>
  <c r="AI66" i="8"/>
  <c r="AM66" i="8"/>
  <c r="AT66" i="8"/>
  <c r="AW66" i="8"/>
  <c r="C67" i="8"/>
  <c r="D67" i="8"/>
  <c r="G67" i="8"/>
  <c r="G61" i="8"/>
  <c r="H67" i="8"/>
  <c r="H61" i="8"/>
  <c r="I67" i="8"/>
  <c r="I61" i="8"/>
  <c r="J67" i="8"/>
  <c r="K67" i="8"/>
  <c r="K61" i="8"/>
  <c r="L67" i="8"/>
  <c r="L61" i="8"/>
  <c r="M67" i="8"/>
  <c r="M61" i="8"/>
  <c r="N67" i="8"/>
  <c r="O67" i="8"/>
  <c r="O61" i="8"/>
  <c r="P67" i="8"/>
  <c r="P61" i="8"/>
  <c r="Q67" i="8"/>
  <c r="R67" i="8"/>
  <c r="S67" i="8"/>
  <c r="S61" i="8"/>
  <c r="T67" i="8"/>
  <c r="T61" i="8"/>
  <c r="U67" i="8"/>
  <c r="V67" i="8"/>
  <c r="W67" i="8"/>
  <c r="W61" i="8"/>
  <c r="X67" i="8"/>
  <c r="X61" i="8"/>
  <c r="Y67" i="8"/>
  <c r="Y61" i="8"/>
  <c r="Z67" i="8"/>
  <c r="AA67" i="8"/>
  <c r="AA61" i="8"/>
  <c r="AB67" i="8"/>
  <c r="AB61" i="8"/>
  <c r="AC67" i="8"/>
  <c r="AC61" i="8"/>
  <c r="AD67" i="8"/>
  <c r="AE67" i="8"/>
  <c r="AE61" i="8"/>
  <c r="AF67" i="8"/>
  <c r="AF61" i="8"/>
  <c r="AG67" i="8"/>
  <c r="AH67" i="8"/>
  <c r="AI67" i="8"/>
  <c r="AI61" i="8"/>
  <c r="AJ67" i="8"/>
  <c r="AJ61" i="8"/>
  <c r="AK67" i="8"/>
  <c r="AL67" i="8"/>
  <c r="AM67" i="8"/>
  <c r="AM61" i="8"/>
  <c r="AN67" i="8"/>
  <c r="AN61" i="8"/>
  <c r="AO67" i="8"/>
  <c r="AO61" i="8"/>
  <c r="AP67" i="8"/>
  <c r="AQ67" i="8"/>
  <c r="AQ61" i="8"/>
  <c r="AR67" i="8"/>
  <c r="AR61" i="8"/>
  <c r="AS67" i="8"/>
  <c r="AS61" i="8"/>
  <c r="AT67" i="8"/>
  <c r="AU67" i="8"/>
  <c r="AU61" i="8"/>
  <c r="AV67" i="8"/>
  <c r="AV61" i="8"/>
  <c r="AW67" i="8"/>
  <c r="AX67" i="8"/>
  <c r="AY67" i="8"/>
  <c r="AY61" i="8"/>
  <c r="AZ67" i="8"/>
  <c r="AZ61" i="8"/>
  <c r="BA67" i="8"/>
  <c r="H74" i="8"/>
  <c r="L74" i="8"/>
  <c r="M74" i="8"/>
  <c r="P74" i="8"/>
  <c r="S74" i="8"/>
  <c r="T74" i="8"/>
  <c r="W74" i="8"/>
  <c r="X74" i="8"/>
  <c r="AA74" i="8"/>
  <c r="AA13" i="14"/>
  <c r="AB74" i="8"/>
  <c r="AD74" i="8"/>
  <c r="AE74" i="8"/>
  <c r="AE13" i="16"/>
  <c r="AI74" i="8"/>
  <c r="H17" i="5"/>
  <c r="AM74" i="8"/>
  <c r="L17" i="5"/>
  <c r="AW74" i="8"/>
  <c r="C84" i="8"/>
  <c r="D84" i="8"/>
  <c r="E84" i="8"/>
  <c r="E22" i="15"/>
  <c r="F84" i="8"/>
  <c r="G84" i="8"/>
  <c r="H84" i="8"/>
  <c r="I84" i="8"/>
  <c r="I22" i="15"/>
  <c r="J84" i="8"/>
  <c r="K84" i="8"/>
  <c r="L84" i="8"/>
  <c r="M84" i="8"/>
  <c r="N84" i="8"/>
  <c r="O84" i="8"/>
  <c r="P84" i="8"/>
  <c r="Q84" i="8"/>
  <c r="Q22" i="14"/>
  <c r="R84" i="8"/>
  <c r="S84" i="8"/>
  <c r="T84" i="8"/>
  <c r="U84" i="8"/>
  <c r="U22" i="15"/>
  <c r="V84" i="8"/>
  <c r="W84" i="8"/>
  <c r="X84" i="8"/>
  <c r="Y84" i="8"/>
  <c r="Y22" i="15"/>
  <c r="Z84" i="8"/>
  <c r="AA84" i="8"/>
  <c r="AB84" i="8"/>
  <c r="AC84" i="8"/>
  <c r="AD84" i="8"/>
  <c r="AE84" i="8"/>
  <c r="AF84" i="8"/>
  <c r="AG84" i="8"/>
  <c r="AH84" i="8"/>
  <c r="AI84" i="8"/>
  <c r="AJ84" i="8"/>
  <c r="AK84" i="8"/>
  <c r="AK22" i="15"/>
  <c r="AL84" i="8"/>
  <c r="AM84" i="8"/>
  <c r="AN84" i="8"/>
  <c r="AO84" i="8"/>
  <c r="AP84" i="8"/>
  <c r="AQ84" i="8"/>
  <c r="AR84" i="8"/>
  <c r="AS84" i="8"/>
  <c r="AT84" i="8"/>
  <c r="AU84" i="8"/>
  <c r="AV84" i="8"/>
  <c r="AW84" i="8"/>
  <c r="AU22" i="13"/>
  <c r="AU23" i="13"/>
  <c r="AX84" i="8"/>
  <c r="AY84" i="8"/>
  <c r="AZ84" i="8"/>
  <c r="BA84" i="8"/>
  <c r="C87" i="8"/>
  <c r="D87" i="8"/>
  <c r="E87" i="8"/>
  <c r="E90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T87" i="8"/>
  <c r="U87" i="8"/>
  <c r="V87" i="8"/>
  <c r="W87" i="8"/>
  <c r="X87" i="8"/>
  <c r="Y87" i="8"/>
  <c r="Z87" i="8"/>
  <c r="AA87" i="8"/>
  <c r="AB87" i="8"/>
  <c r="AC87" i="8"/>
  <c r="AD87" i="8"/>
  <c r="AE87" i="8"/>
  <c r="AF87" i="8"/>
  <c r="AG87" i="8"/>
  <c r="AH87" i="8"/>
  <c r="AI87" i="8"/>
  <c r="AJ87" i="8"/>
  <c r="AK87" i="8"/>
  <c r="AL87" i="8"/>
  <c r="AM87" i="8"/>
  <c r="AN87" i="8"/>
  <c r="AO87" i="8"/>
  <c r="AP87" i="8"/>
  <c r="AQ87" i="8"/>
  <c r="AR87" i="8"/>
  <c r="AS87" i="8"/>
  <c r="AT87" i="8"/>
  <c r="AU87" i="8"/>
  <c r="AV87" i="8"/>
  <c r="AW87" i="8"/>
  <c r="AX87" i="8"/>
  <c r="AY87" i="8"/>
  <c r="AZ87" i="8"/>
  <c r="BA87" i="8"/>
  <c r="H90" i="8"/>
  <c r="H29" i="7"/>
  <c r="I90" i="8"/>
  <c r="L90" i="8"/>
  <c r="L29" i="7"/>
  <c r="M90" i="8"/>
  <c r="N90" i="8"/>
  <c r="P90" i="8"/>
  <c r="P29" i="7"/>
  <c r="Q90" i="8"/>
  <c r="Q91" i="8"/>
  <c r="S90" i="8"/>
  <c r="S29" i="7"/>
  <c r="T90" i="8"/>
  <c r="T29" i="7"/>
  <c r="W90" i="8"/>
  <c r="W29" i="7"/>
  <c r="X90" i="8"/>
  <c r="X29" i="7"/>
  <c r="AA90" i="8"/>
  <c r="AA29" i="7"/>
  <c r="AB90" i="8"/>
  <c r="AB29" i="7"/>
  <c r="AD90" i="8"/>
  <c r="AD29" i="7"/>
  <c r="AE90" i="8"/>
  <c r="AE29" i="7"/>
  <c r="AH90" i="8"/>
  <c r="G29" i="5"/>
  <c r="AI90" i="8"/>
  <c r="AI29" i="7"/>
  <c r="AK90" i="8"/>
  <c r="AM90" i="8"/>
  <c r="AM29" i="7"/>
  <c r="AP90" i="8"/>
  <c r="AT90" i="8"/>
  <c r="AW90" i="8"/>
  <c r="AX90" i="8"/>
  <c r="S91" i="8"/>
  <c r="W91" i="8"/>
  <c r="AA91" i="8"/>
  <c r="AD91" i="8"/>
  <c r="AE91" i="8"/>
  <c r="AH91" i="8"/>
  <c r="AI91" i="8"/>
  <c r="AM91" i="8"/>
  <c r="AT91" i="8"/>
  <c r="E94" i="8"/>
  <c r="F94" i="8"/>
  <c r="G94" i="8"/>
  <c r="G33" i="7"/>
  <c r="H94" i="8"/>
  <c r="H33" i="7"/>
  <c r="I94" i="8"/>
  <c r="I33" i="7"/>
  <c r="J94" i="8"/>
  <c r="K94" i="8"/>
  <c r="H33" i="3"/>
  <c r="L94" i="8"/>
  <c r="L33" i="7"/>
  <c r="M94" i="8"/>
  <c r="M33" i="7"/>
  <c r="N94" i="8"/>
  <c r="O94" i="8"/>
  <c r="O33" i="7"/>
  <c r="P94" i="8"/>
  <c r="P33" i="7"/>
  <c r="Q94" i="8"/>
  <c r="Q33" i="7"/>
  <c r="R94" i="8"/>
  <c r="S94" i="8"/>
  <c r="T94" i="8"/>
  <c r="T33" i="7"/>
  <c r="U94" i="8"/>
  <c r="V94" i="8"/>
  <c r="W94" i="8"/>
  <c r="W33" i="7"/>
  <c r="X94" i="8"/>
  <c r="X33" i="7"/>
  <c r="Y94" i="8"/>
  <c r="Z94" i="8"/>
  <c r="AA94" i="8"/>
  <c r="AB94" i="8"/>
  <c r="AB33" i="7"/>
  <c r="AC94" i="8"/>
  <c r="AD94" i="8"/>
  <c r="AE94" i="8"/>
  <c r="AE33" i="7"/>
  <c r="AF94" i="8"/>
  <c r="AF33" i="7"/>
  <c r="AG94" i="8"/>
  <c r="AG33" i="7"/>
  <c r="AH94" i="8"/>
  <c r="AI94" i="8"/>
  <c r="H33" i="5"/>
  <c r="AJ94" i="8"/>
  <c r="AJ33" i="7"/>
  <c r="AK94" i="8"/>
  <c r="AK33" i="7"/>
  <c r="AL94" i="8"/>
  <c r="AM94" i="8"/>
  <c r="AM33" i="7"/>
  <c r="AN94" i="8"/>
  <c r="AN33" i="7"/>
  <c r="AO94" i="8"/>
  <c r="AO33" i="7"/>
  <c r="AP94" i="8"/>
  <c r="AQ94" i="8"/>
  <c r="AR94" i="8"/>
  <c r="AR33" i="7"/>
  <c r="AS94" i="8"/>
  <c r="AT94" i="8"/>
  <c r="AU94" i="8"/>
  <c r="AU33" i="7"/>
  <c r="AV94" i="8"/>
  <c r="AV33" i="7"/>
  <c r="AW94" i="8"/>
  <c r="AX94" i="8"/>
  <c r="AY94" i="8"/>
  <c r="AZ94" i="8"/>
  <c r="AZ33" i="7"/>
  <c r="BA94" i="8"/>
  <c r="E95" i="8"/>
  <c r="F95" i="8"/>
  <c r="F34" i="7"/>
  <c r="G95" i="8"/>
  <c r="G34" i="7"/>
  <c r="H95" i="8"/>
  <c r="E34" i="3"/>
  <c r="I95" i="8"/>
  <c r="J95" i="8"/>
  <c r="J34" i="7"/>
  <c r="K95" i="8"/>
  <c r="L95" i="8"/>
  <c r="L34" i="7"/>
  <c r="M95" i="8"/>
  <c r="N95" i="8"/>
  <c r="N34" i="7"/>
  <c r="O95" i="8"/>
  <c r="O34" i="7"/>
  <c r="P95" i="8"/>
  <c r="M34" i="3"/>
  <c r="Q95" i="8"/>
  <c r="R95" i="8"/>
  <c r="R34" i="7"/>
  <c r="S95" i="8"/>
  <c r="D34" i="4"/>
  <c r="T95" i="8"/>
  <c r="U95" i="8"/>
  <c r="V95" i="8"/>
  <c r="V34" i="7"/>
  <c r="W95" i="8"/>
  <c r="H34" i="4"/>
  <c r="X95" i="8"/>
  <c r="I34" i="4"/>
  <c r="Y95" i="8"/>
  <c r="Z95" i="8"/>
  <c r="Z34" i="7"/>
  <c r="AA95" i="8"/>
  <c r="L34" i="4"/>
  <c r="AB95" i="8"/>
  <c r="AC95" i="8"/>
  <c r="AD95" i="8"/>
  <c r="AD34" i="7"/>
  <c r="AE95" i="8"/>
  <c r="AE34" i="7"/>
  <c r="AF95" i="8"/>
  <c r="AF34" i="7"/>
  <c r="AG95" i="8"/>
  <c r="AH95" i="8"/>
  <c r="AH34" i="7"/>
  <c r="AI95" i="8"/>
  <c r="AJ95" i="8"/>
  <c r="AJ34" i="7"/>
  <c r="AK95" i="8"/>
  <c r="AL95" i="8"/>
  <c r="AL34" i="7"/>
  <c r="AM95" i="8"/>
  <c r="AM34" i="7"/>
  <c r="AN95" i="8"/>
  <c r="M34" i="5"/>
  <c r="AO95" i="8"/>
  <c r="AP95" i="8"/>
  <c r="AP34" i="7"/>
  <c r="AQ95" i="8"/>
  <c r="D34" i="6"/>
  <c r="AR95" i="8"/>
  <c r="AS95" i="8"/>
  <c r="AT95" i="8"/>
  <c r="AT34" i="7"/>
  <c r="AU95" i="8"/>
  <c r="H34" i="6"/>
  <c r="AV95" i="8"/>
  <c r="I34" i="6"/>
  <c r="AW95" i="8"/>
  <c r="AX95" i="8"/>
  <c r="AX34" i="7"/>
  <c r="AY95" i="8"/>
  <c r="L34" i="6"/>
  <c r="AZ95" i="8"/>
  <c r="BA95" i="8"/>
  <c r="C98" i="8"/>
  <c r="E98" i="8"/>
  <c r="H98" i="8"/>
  <c r="L98" i="8"/>
  <c r="M98" i="8"/>
  <c r="P98" i="8"/>
  <c r="Q98" i="8"/>
  <c r="R98" i="8"/>
  <c r="S98" i="8"/>
  <c r="T98" i="8"/>
  <c r="V98" i="8"/>
  <c r="W98" i="8"/>
  <c r="X98" i="8"/>
  <c r="Z98" i="8"/>
  <c r="AA98" i="8"/>
  <c r="AB98" i="8"/>
  <c r="AD98" i="8"/>
  <c r="AE98" i="8"/>
  <c r="AH98" i="8"/>
  <c r="AI98" i="8"/>
  <c r="AM98" i="8"/>
  <c r="AO98" i="8"/>
  <c r="AT98" i="8"/>
  <c r="AW98" i="8"/>
  <c r="C99" i="8"/>
  <c r="E99" i="8"/>
  <c r="H99" i="8"/>
  <c r="L99" i="8"/>
  <c r="N99" i="8"/>
  <c r="O99" i="8"/>
  <c r="O101" i="8"/>
  <c r="P99" i="8"/>
  <c r="S99" i="8"/>
  <c r="T99" i="8"/>
  <c r="W99" i="8"/>
  <c r="X99" i="8"/>
  <c r="Z99" i="8"/>
  <c r="AA99" i="8"/>
  <c r="AB99" i="8"/>
  <c r="AD99" i="8"/>
  <c r="AE99" i="8"/>
  <c r="AE101" i="8"/>
  <c r="AE102" i="8"/>
  <c r="AE35" i="7"/>
  <c r="AH99" i="8"/>
  <c r="AI99" i="8"/>
  <c r="AM99" i="8"/>
  <c r="AM101" i="8"/>
  <c r="AM102" i="8"/>
  <c r="AM35" i="7"/>
  <c r="AT99" i="8"/>
  <c r="AU99" i="8"/>
  <c r="AU101" i="8"/>
  <c r="AY99" i="8"/>
  <c r="C100" i="8"/>
  <c r="D100" i="8"/>
  <c r="G100" i="8"/>
  <c r="H100" i="8"/>
  <c r="K100" i="8"/>
  <c r="L100" i="8"/>
  <c r="O100" i="8"/>
  <c r="P100" i="8"/>
  <c r="S100" i="8"/>
  <c r="T100" i="8"/>
  <c r="W100" i="8"/>
  <c r="X100" i="8"/>
  <c r="AA100" i="8"/>
  <c r="AB100" i="8"/>
  <c r="AE100" i="8"/>
  <c r="AF100" i="8"/>
  <c r="AI100" i="8"/>
  <c r="AJ100" i="8"/>
  <c r="AM100" i="8"/>
  <c r="AN100" i="8"/>
  <c r="AQ100" i="8"/>
  <c r="AR100" i="8"/>
  <c r="AU100" i="8"/>
  <c r="AV100" i="8"/>
  <c r="AY100" i="8"/>
  <c r="AY129" i="8"/>
  <c r="AZ100" i="8"/>
  <c r="H101" i="8"/>
  <c r="H102" i="8"/>
  <c r="E35" i="3"/>
  <c r="P101" i="8"/>
  <c r="P102" i="8"/>
  <c r="M35" i="3"/>
  <c r="X101" i="8"/>
  <c r="X102" i="8"/>
  <c r="X35" i="7"/>
  <c r="E104" i="8"/>
  <c r="F104" i="8"/>
  <c r="G104" i="8"/>
  <c r="G36" i="7"/>
  <c r="H104" i="8"/>
  <c r="I104" i="8"/>
  <c r="J104" i="8"/>
  <c r="J36" i="7"/>
  <c r="K104" i="8"/>
  <c r="K36" i="7"/>
  <c r="L104" i="8"/>
  <c r="M104" i="8"/>
  <c r="N104" i="8"/>
  <c r="O104" i="8"/>
  <c r="O36" i="7"/>
  <c r="P104" i="8"/>
  <c r="Q104" i="8"/>
  <c r="R104" i="8"/>
  <c r="R36" i="7"/>
  <c r="S104" i="8"/>
  <c r="S36" i="7"/>
  <c r="T104" i="8"/>
  <c r="T36" i="7"/>
  <c r="U104" i="8"/>
  <c r="V104" i="8"/>
  <c r="G36" i="4"/>
  <c r="W104" i="8"/>
  <c r="W36" i="7"/>
  <c r="X104" i="8"/>
  <c r="X36" i="7"/>
  <c r="Y104" i="8"/>
  <c r="Z104" i="8"/>
  <c r="Z36" i="7"/>
  <c r="AA104" i="8"/>
  <c r="AA36" i="7"/>
  <c r="AB104" i="8"/>
  <c r="AB36" i="7"/>
  <c r="AC104" i="8"/>
  <c r="AD104" i="8"/>
  <c r="AE104" i="8"/>
  <c r="AE36" i="7"/>
  <c r="AF104" i="8"/>
  <c r="AG104" i="8"/>
  <c r="AH104" i="8"/>
  <c r="AH36" i="7"/>
  <c r="AI104" i="8"/>
  <c r="AI36" i="7"/>
  <c r="AJ104" i="8"/>
  <c r="AK104" i="8"/>
  <c r="AL104" i="8"/>
  <c r="AM104" i="8"/>
  <c r="AM36" i="7"/>
  <c r="AN104" i="8"/>
  <c r="AO104" i="8"/>
  <c r="AP104" i="8"/>
  <c r="AP36" i="7"/>
  <c r="AQ104" i="8"/>
  <c r="AQ36" i="7"/>
  <c r="AR104" i="8"/>
  <c r="AR36" i="7"/>
  <c r="AS104" i="8"/>
  <c r="AT104" i="8"/>
  <c r="G36" i="6"/>
  <c r="AU104" i="8"/>
  <c r="AU36" i="7"/>
  <c r="AV104" i="8"/>
  <c r="AV36" i="7"/>
  <c r="AW104" i="8"/>
  <c r="AX104" i="8"/>
  <c r="AX36" i="7"/>
  <c r="AY104" i="8"/>
  <c r="AY36" i="7"/>
  <c r="AZ104" i="8"/>
  <c r="AZ36" i="7"/>
  <c r="BA104" i="8"/>
  <c r="C106" i="8"/>
  <c r="E106" i="8"/>
  <c r="H106" i="8"/>
  <c r="L106" i="8"/>
  <c r="M106" i="8"/>
  <c r="P106" i="8"/>
  <c r="Q106" i="8"/>
  <c r="R106" i="8"/>
  <c r="S106" i="8"/>
  <c r="T106" i="8"/>
  <c r="V106" i="8"/>
  <c r="W106" i="8"/>
  <c r="X106" i="8"/>
  <c r="Z106" i="8"/>
  <c r="AA106" i="8"/>
  <c r="AB106" i="8"/>
  <c r="AD106" i="8"/>
  <c r="AE106" i="8"/>
  <c r="AH106" i="8"/>
  <c r="AI106" i="8"/>
  <c r="AM106" i="8"/>
  <c r="AO106" i="8"/>
  <c r="AT106" i="8"/>
  <c r="AW106" i="8"/>
  <c r="C107" i="8"/>
  <c r="S107" i="8"/>
  <c r="W107" i="8"/>
  <c r="AA107" i="8"/>
  <c r="AE107" i="8"/>
  <c r="AI107" i="8"/>
  <c r="AM107" i="8"/>
  <c r="AU107" i="8"/>
  <c r="AY107" i="8"/>
  <c r="C108" i="8"/>
  <c r="S108" i="8"/>
  <c r="W108" i="8"/>
  <c r="W37" i="7"/>
  <c r="AA108" i="8"/>
  <c r="AE108" i="8"/>
  <c r="AI108" i="8"/>
  <c r="AM108" i="8"/>
  <c r="C111" i="8"/>
  <c r="E111" i="8"/>
  <c r="H111" i="8"/>
  <c r="L111" i="8"/>
  <c r="M111" i="8"/>
  <c r="P111" i="8"/>
  <c r="Q111" i="8"/>
  <c r="S111" i="8"/>
  <c r="T111" i="8"/>
  <c r="W111" i="8"/>
  <c r="X111" i="8"/>
  <c r="AA111" i="8"/>
  <c r="AB111" i="8"/>
  <c r="AE111" i="8"/>
  <c r="AI111" i="8"/>
  <c r="AJ111" i="8"/>
  <c r="AM111" i="8"/>
  <c r="AN111" i="8"/>
  <c r="AO111" i="8"/>
  <c r="AV111" i="8"/>
  <c r="AW111" i="8"/>
  <c r="C116" i="8"/>
  <c r="E116" i="8"/>
  <c r="H116" i="8"/>
  <c r="L116" i="8"/>
  <c r="O116" i="8"/>
  <c r="P116" i="8"/>
  <c r="S116" i="8"/>
  <c r="T116" i="8"/>
  <c r="W116" i="8"/>
  <c r="X116" i="8"/>
  <c r="AA116" i="8"/>
  <c r="AB116" i="8"/>
  <c r="AE116" i="8"/>
  <c r="AI116" i="8"/>
  <c r="AJ116" i="8"/>
  <c r="AM116" i="8"/>
  <c r="AR116" i="8"/>
  <c r="AU116" i="8"/>
  <c r="AY116" i="8"/>
  <c r="AZ116" i="8"/>
  <c r="D117" i="8"/>
  <c r="H117" i="8"/>
  <c r="L117" i="8"/>
  <c r="P117" i="8"/>
  <c r="T117" i="8"/>
  <c r="X117" i="8"/>
  <c r="AB117" i="8"/>
  <c r="AJ117" i="8"/>
  <c r="AR117" i="8"/>
  <c r="AZ117" i="8"/>
  <c r="F120" i="8"/>
  <c r="F40" i="7"/>
  <c r="G120" i="8"/>
  <c r="G40" i="7"/>
  <c r="H120" i="8"/>
  <c r="H40" i="7"/>
  <c r="I120" i="8"/>
  <c r="I40" i="7"/>
  <c r="J120" i="8"/>
  <c r="J40" i="7"/>
  <c r="K120" i="8"/>
  <c r="K40" i="7"/>
  <c r="L120" i="8"/>
  <c r="L40" i="7"/>
  <c r="M120" i="8"/>
  <c r="M40" i="7"/>
  <c r="N120" i="8"/>
  <c r="K40" i="3"/>
  <c r="O120" i="8"/>
  <c r="O40" i="7"/>
  <c r="P120" i="8"/>
  <c r="P40" i="7"/>
  <c r="Q120" i="8"/>
  <c r="R120" i="8"/>
  <c r="S120" i="8"/>
  <c r="S40" i="7"/>
  <c r="T120" i="8"/>
  <c r="T40" i="7"/>
  <c r="U120" i="8"/>
  <c r="V120" i="8"/>
  <c r="G40" i="4"/>
  <c r="W120" i="8"/>
  <c r="W40" i="7"/>
  <c r="X120" i="8"/>
  <c r="X40" i="7"/>
  <c r="Y120" i="8"/>
  <c r="J40" i="4"/>
  <c r="Z120" i="8"/>
  <c r="AA120" i="8"/>
  <c r="AA40" i="7"/>
  <c r="AB120" i="8"/>
  <c r="AB40" i="7"/>
  <c r="AC120" i="8"/>
  <c r="AD120" i="8"/>
  <c r="AD40" i="7"/>
  <c r="AE120" i="8"/>
  <c r="AE40" i="7"/>
  <c r="AF120" i="8"/>
  <c r="AF40" i="7"/>
  <c r="AG120" i="8"/>
  <c r="F40" i="5"/>
  <c r="AH120" i="8"/>
  <c r="AH40" i="7"/>
  <c r="AI120" i="8"/>
  <c r="AI40" i="7"/>
  <c r="AJ120" i="8"/>
  <c r="AJ40" i="7"/>
  <c r="AK120" i="8"/>
  <c r="AK40" i="7"/>
  <c r="AL120" i="8"/>
  <c r="AL40" i="7"/>
  <c r="AM120" i="8"/>
  <c r="AM40" i="7"/>
  <c r="AN120" i="8"/>
  <c r="AN40" i="7"/>
  <c r="AO120" i="8"/>
  <c r="N40" i="5"/>
  <c r="AP120" i="8"/>
  <c r="AQ120" i="8"/>
  <c r="AQ40" i="7"/>
  <c r="AR120" i="8"/>
  <c r="AR40" i="7"/>
  <c r="AS120" i="8"/>
  <c r="AT120" i="8"/>
  <c r="G40" i="6"/>
  <c r="AU120" i="8"/>
  <c r="AU40" i="7"/>
  <c r="AV120" i="8"/>
  <c r="AV40" i="7"/>
  <c r="AW120" i="8"/>
  <c r="J40" i="6"/>
  <c r="AX120" i="8"/>
  <c r="AY120" i="8"/>
  <c r="AY40" i="7"/>
  <c r="AZ120" i="8"/>
  <c r="AZ40" i="7"/>
  <c r="BA120" i="8"/>
  <c r="F121" i="8"/>
  <c r="G121" i="8"/>
  <c r="D41" i="3"/>
  <c r="H121" i="8"/>
  <c r="H41" i="7"/>
  <c r="I121" i="8"/>
  <c r="I41" i="7"/>
  <c r="J121" i="8"/>
  <c r="G41" i="3"/>
  <c r="K121" i="8"/>
  <c r="K41" i="7"/>
  <c r="L121" i="8"/>
  <c r="L41" i="7"/>
  <c r="M121" i="8"/>
  <c r="M41" i="7"/>
  <c r="N121" i="8"/>
  <c r="O121" i="8"/>
  <c r="L41" i="3"/>
  <c r="P121" i="8"/>
  <c r="P41" i="7"/>
  <c r="Q121" i="8"/>
  <c r="Q41" i="7"/>
  <c r="R121" i="8"/>
  <c r="R41" i="7"/>
  <c r="S121" i="8"/>
  <c r="S41" i="7"/>
  <c r="T121" i="8"/>
  <c r="T41" i="7"/>
  <c r="U121" i="8"/>
  <c r="V121" i="8"/>
  <c r="V41" i="7"/>
  <c r="W121" i="8"/>
  <c r="X121" i="8"/>
  <c r="X41" i="7"/>
  <c r="Y121" i="8"/>
  <c r="Z121" i="8"/>
  <c r="Z41" i="7"/>
  <c r="AA121" i="8"/>
  <c r="AA41" i="7"/>
  <c r="AB121" i="8"/>
  <c r="AB41" i="7"/>
  <c r="AC121" i="8"/>
  <c r="AD121" i="8"/>
  <c r="AE121" i="8"/>
  <c r="D41" i="5"/>
  <c r="AF121" i="8"/>
  <c r="AF41" i="7"/>
  <c r="AG121" i="8"/>
  <c r="AG41" i="7"/>
  <c r="AH121" i="8"/>
  <c r="G41" i="5"/>
  <c r="AI121" i="8"/>
  <c r="AI41" i="7"/>
  <c r="AJ121" i="8"/>
  <c r="AJ41" i="7"/>
  <c r="AK121" i="8"/>
  <c r="AK41" i="7"/>
  <c r="AL121" i="8"/>
  <c r="AM121" i="8"/>
  <c r="L41" i="5"/>
  <c r="AN121" i="8"/>
  <c r="AN41" i="7"/>
  <c r="AO121" i="8"/>
  <c r="AO41" i="7"/>
  <c r="AP121" i="8"/>
  <c r="AP41" i="7"/>
  <c r="AQ121" i="8"/>
  <c r="AQ41" i="7"/>
  <c r="AR121" i="8"/>
  <c r="AR41" i="7"/>
  <c r="AS121" i="8"/>
  <c r="AT121" i="8"/>
  <c r="AT41" i="7"/>
  <c r="AU121" i="8"/>
  <c r="AV121" i="8"/>
  <c r="AV41" i="7"/>
  <c r="AW121" i="8"/>
  <c r="AX121" i="8"/>
  <c r="K41" i="6"/>
  <c r="AY121" i="8"/>
  <c r="AY41" i="7"/>
  <c r="AZ121" i="8"/>
  <c r="AZ41" i="7"/>
  <c r="BA121" i="8"/>
  <c r="C123" i="8"/>
  <c r="E123" i="8"/>
  <c r="H123" i="8"/>
  <c r="J123" i="8"/>
  <c r="L123" i="8"/>
  <c r="N123" i="8"/>
  <c r="O123" i="8"/>
  <c r="P123" i="8"/>
  <c r="S123" i="8"/>
  <c r="T123" i="8"/>
  <c r="W123" i="8"/>
  <c r="W125" i="8"/>
  <c r="H42" i="4"/>
  <c r="X123" i="8"/>
  <c r="Z123" i="8"/>
  <c r="AA123" i="8"/>
  <c r="AB123" i="8"/>
  <c r="AD123" i="8"/>
  <c r="AE123" i="8"/>
  <c r="AE125" i="8"/>
  <c r="AH123" i="8"/>
  <c r="AI123" i="8"/>
  <c r="AM123" i="8"/>
  <c r="AM125" i="8"/>
  <c r="AT123" i="8"/>
  <c r="AU123" i="8"/>
  <c r="AU125" i="8"/>
  <c r="AY123" i="8"/>
  <c r="C124" i="8"/>
  <c r="D124" i="8"/>
  <c r="H124" i="8"/>
  <c r="L124" i="8"/>
  <c r="L125" i="8"/>
  <c r="P124" i="8"/>
  <c r="S124" i="8"/>
  <c r="T124" i="8"/>
  <c r="T125" i="8"/>
  <c r="W124" i="8"/>
  <c r="X124" i="8"/>
  <c r="AA124" i="8"/>
  <c r="AB124" i="8"/>
  <c r="AB125" i="8"/>
  <c r="AE124" i="8"/>
  <c r="AI124" i="8"/>
  <c r="AJ124" i="8"/>
  <c r="AM124" i="8"/>
  <c r="AR124" i="8"/>
  <c r="AU124" i="8"/>
  <c r="AY124" i="8"/>
  <c r="AZ124" i="8"/>
  <c r="H125" i="8"/>
  <c r="H42" i="7"/>
  <c r="P125" i="8"/>
  <c r="P42" i="7"/>
  <c r="X125" i="8"/>
  <c r="C128" i="8"/>
  <c r="E128" i="8"/>
  <c r="H128" i="8"/>
  <c r="I128" i="8"/>
  <c r="J128" i="8"/>
  <c r="L128" i="8"/>
  <c r="M128" i="8"/>
  <c r="N128" i="8"/>
  <c r="P128" i="8"/>
  <c r="Q128" i="8"/>
  <c r="S128" i="8"/>
  <c r="T128" i="8"/>
  <c r="W128" i="8"/>
  <c r="X128" i="8"/>
  <c r="AA128" i="8"/>
  <c r="AB128" i="8"/>
  <c r="AD128" i="8"/>
  <c r="AE128" i="8"/>
  <c r="AG128" i="8"/>
  <c r="AH128" i="8"/>
  <c r="AI128" i="8"/>
  <c r="AL128" i="8"/>
  <c r="AM128" i="8"/>
  <c r="AP128" i="8"/>
  <c r="AS128" i="8"/>
  <c r="AT128" i="8"/>
  <c r="AW128" i="8"/>
  <c r="AX128" i="8"/>
  <c r="BA128" i="8"/>
  <c r="W129" i="8"/>
  <c r="AE129" i="8"/>
  <c r="AM129" i="8"/>
  <c r="AU129" i="8"/>
  <c r="W130" i="8"/>
  <c r="AE130" i="8"/>
  <c r="AE43" i="7"/>
  <c r="AM130" i="8"/>
  <c r="AM43" i="7"/>
  <c r="C133" i="8"/>
  <c r="E133" i="8"/>
  <c r="H133" i="8"/>
  <c r="I133" i="8"/>
  <c r="L133" i="8"/>
  <c r="M133" i="8"/>
  <c r="P133" i="8"/>
  <c r="Q133" i="8"/>
  <c r="S133" i="8"/>
  <c r="T133" i="8"/>
  <c r="W133" i="8"/>
  <c r="X133" i="8"/>
  <c r="AA133" i="8"/>
  <c r="AB133" i="8"/>
  <c r="AE133" i="8"/>
  <c r="AF133" i="8"/>
  <c r="AG133" i="8"/>
  <c r="AI133" i="8"/>
  <c r="AM133" i="8"/>
  <c r="AR133" i="8"/>
  <c r="AS133" i="8"/>
  <c r="AW133" i="8"/>
  <c r="AZ133" i="8"/>
  <c r="BA133" i="8"/>
  <c r="C138" i="8"/>
  <c r="E138" i="8"/>
  <c r="H138" i="8"/>
  <c r="K138" i="8"/>
  <c r="L138" i="8"/>
  <c r="P138" i="8"/>
  <c r="S138" i="8"/>
  <c r="T138" i="8"/>
  <c r="W138" i="8"/>
  <c r="X138" i="8"/>
  <c r="AA138" i="8"/>
  <c r="AB138" i="8"/>
  <c r="AE138" i="8"/>
  <c r="AF138" i="8"/>
  <c r="AI138" i="8"/>
  <c r="AM138" i="8"/>
  <c r="AN138" i="8"/>
  <c r="AU138" i="8"/>
  <c r="AV138" i="8"/>
  <c r="AY138" i="8"/>
  <c r="H139" i="8"/>
  <c r="P139" i="8"/>
  <c r="X139" i="8"/>
  <c r="AF139" i="8"/>
  <c r="AN139" i="8"/>
  <c r="AV139" i="8"/>
  <c r="F145" i="8"/>
  <c r="G145" i="8"/>
  <c r="G49" i="7"/>
  <c r="H145" i="8"/>
  <c r="E49" i="3"/>
  <c r="I145" i="8"/>
  <c r="I149" i="8"/>
  <c r="J145" i="8"/>
  <c r="K145" i="8"/>
  <c r="K49" i="7"/>
  <c r="L145" i="8"/>
  <c r="I49" i="3"/>
  <c r="M145" i="8"/>
  <c r="M149" i="8"/>
  <c r="N145" i="8"/>
  <c r="O145" i="8"/>
  <c r="O49" i="7"/>
  <c r="P145" i="8"/>
  <c r="P49" i="7"/>
  <c r="Q145" i="8"/>
  <c r="Q149" i="8"/>
  <c r="R145" i="8"/>
  <c r="S145" i="8"/>
  <c r="T145" i="8"/>
  <c r="U145" i="8"/>
  <c r="U49" i="7"/>
  <c r="U53" i="7"/>
  <c r="V145" i="8"/>
  <c r="W145" i="8"/>
  <c r="X145" i="8"/>
  <c r="Y145" i="8"/>
  <c r="Y149" i="8"/>
  <c r="Z145" i="8"/>
  <c r="AA145" i="8"/>
  <c r="AB145" i="8"/>
  <c r="AB49" i="7"/>
  <c r="AC145" i="8"/>
  <c r="AC149" i="8"/>
  <c r="AD145" i="8"/>
  <c r="AE145" i="8"/>
  <c r="AE49" i="7"/>
  <c r="AF145" i="8"/>
  <c r="AF49" i="7"/>
  <c r="AG145" i="8"/>
  <c r="AG149" i="8"/>
  <c r="AH145" i="8"/>
  <c r="AI145" i="8"/>
  <c r="AI49" i="7"/>
  <c r="AJ145" i="8"/>
  <c r="I49" i="5"/>
  <c r="AK145" i="8"/>
  <c r="AK49" i="7"/>
  <c r="AL145" i="8"/>
  <c r="AM145" i="8"/>
  <c r="AM49" i="7"/>
  <c r="AN145" i="8"/>
  <c r="M49" i="5"/>
  <c r="AO145" i="8"/>
  <c r="AO149" i="8"/>
  <c r="AP145" i="8"/>
  <c r="AQ145" i="8"/>
  <c r="AR145" i="8"/>
  <c r="AR49" i="7"/>
  <c r="AS145" i="8"/>
  <c r="AS149" i="8"/>
  <c r="AT145" i="8"/>
  <c r="AU145" i="8"/>
  <c r="AV145" i="8"/>
  <c r="AV49" i="7"/>
  <c r="AW145" i="8"/>
  <c r="AW149" i="8"/>
  <c r="AX145" i="8"/>
  <c r="AY145" i="8"/>
  <c r="AZ145" i="8"/>
  <c r="BA145" i="8"/>
  <c r="BA49" i="7"/>
  <c r="BA53" i="7"/>
  <c r="F146" i="8"/>
  <c r="F50" i="7"/>
  <c r="G146" i="8"/>
  <c r="H146" i="8"/>
  <c r="H50" i="7"/>
  <c r="I146" i="8"/>
  <c r="J146" i="8"/>
  <c r="G50" i="3"/>
  <c r="K146" i="8"/>
  <c r="L146" i="8"/>
  <c r="L50" i="7"/>
  <c r="M146" i="8"/>
  <c r="M50" i="7"/>
  <c r="N146" i="8"/>
  <c r="O146" i="8"/>
  <c r="L50" i="3"/>
  <c r="P146" i="8"/>
  <c r="P50" i="7"/>
  <c r="Q146" i="8"/>
  <c r="Q50" i="7"/>
  <c r="R146" i="8"/>
  <c r="S146" i="8"/>
  <c r="S50" i="7"/>
  <c r="T146" i="8"/>
  <c r="T50" i="7"/>
  <c r="U146" i="8"/>
  <c r="F50" i="4"/>
  <c r="V146" i="8"/>
  <c r="W146" i="8"/>
  <c r="W50" i="7"/>
  <c r="X146" i="8"/>
  <c r="X50" i="7"/>
  <c r="Y146" i="8"/>
  <c r="J50" i="4"/>
  <c r="Z146" i="8"/>
  <c r="K50" i="4"/>
  <c r="AA146" i="8"/>
  <c r="AA50" i="7"/>
  <c r="AB146" i="8"/>
  <c r="AB50" i="7"/>
  <c r="AC146" i="8"/>
  <c r="N50" i="4"/>
  <c r="AD146" i="8"/>
  <c r="AD50" i="7"/>
  <c r="AE146" i="8"/>
  <c r="D50" i="5"/>
  <c r="AF146" i="8"/>
  <c r="AF50" i="7"/>
  <c r="AG146" i="8"/>
  <c r="AG50" i="7"/>
  <c r="AH146" i="8"/>
  <c r="AH50" i="7"/>
  <c r="AI146" i="8"/>
  <c r="H50" i="5"/>
  <c r="AJ146" i="8"/>
  <c r="AJ50" i="7"/>
  <c r="AK146" i="8"/>
  <c r="AL146" i="8"/>
  <c r="AL50" i="7"/>
  <c r="AM146" i="8"/>
  <c r="AN146" i="8"/>
  <c r="AN50" i="7"/>
  <c r="AO146" i="8"/>
  <c r="AP146" i="8"/>
  <c r="C50" i="6"/>
  <c r="AQ146" i="8"/>
  <c r="AQ50" i="7"/>
  <c r="AR146" i="8"/>
  <c r="AR50" i="7"/>
  <c r="AS146" i="8"/>
  <c r="F50" i="6"/>
  <c r="AT146" i="8"/>
  <c r="G50" i="6"/>
  <c r="AU146" i="8"/>
  <c r="AU50" i="7"/>
  <c r="AV146" i="8"/>
  <c r="AV50" i="7"/>
  <c r="AW146" i="8"/>
  <c r="AW50" i="7"/>
  <c r="AX146" i="8"/>
  <c r="AY146" i="8"/>
  <c r="AY50" i="7"/>
  <c r="AZ146" i="8"/>
  <c r="AZ50" i="7"/>
  <c r="BA146" i="8"/>
  <c r="N50" i="6"/>
  <c r="F147" i="8"/>
  <c r="C51" i="3"/>
  <c r="G147" i="8"/>
  <c r="H147" i="8"/>
  <c r="H51" i="7"/>
  <c r="I147" i="8"/>
  <c r="I51" i="7"/>
  <c r="J147" i="8"/>
  <c r="G51" i="3"/>
  <c r="K147" i="8"/>
  <c r="H51" i="3"/>
  <c r="L147" i="8"/>
  <c r="L51" i="7"/>
  <c r="M147" i="8"/>
  <c r="M51" i="7"/>
  <c r="N147" i="8"/>
  <c r="O147" i="8"/>
  <c r="L51" i="3"/>
  <c r="P147" i="8"/>
  <c r="Q147" i="8"/>
  <c r="Q51" i="7"/>
  <c r="R147" i="8"/>
  <c r="R51" i="7"/>
  <c r="S147" i="8"/>
  <c r="S51" i="7"/>
  <c r="T147" i="8"/>
  <c r="E51" i="4"/>
  <c r="U147" i="8"/>
  <c r="U51" i="7"/>
  <c r="V147" i="8"/>
  <c r="V51" i="7"/>
  <c r="W147" i="8"/>
  <c r="W51" i="7"/>
  <c r="X147" i="8"/>
  <c r="I51" i="4"/>
  <c r="Y147" i="8"/>
  <c r="Y51" i="7"/>
  <c r="Z147" i="8"/>
  <c r="Z51" i="7"/>
  <c r="AA147" i="8"/>
  <c r="L51" i="4"/>
  <c r="AB147" i="8"/>
  <c r="AB51" i="7"/>
  <c r="AC147" i="8"/>
  <c r="AC51" i="7"/>
  <c r="AD147" i="8"/>
  <c r="AE147" i="8"/>
  <c r="D51" i="5"/>
  <c r="AF147" i="8"/>
  <c r="AG147" i="8"/>
  <c r="AG51" i="7"/>
  <c r="AH147" i="8"/>
  <c r="AI147" i="8"/>
  <c r="AJ147" i="8"/>
  <c r="AK147" i="8"/>
  <c r="AK51" i="7"/>
  <c r="AL147" i="8"/>
  <c r="K51" i="5"/>
  <c r="AM147" i="8"/>
  <c r="AN147" i="8"/>
  <c r="AN51" i="7"/>
  <c r="AO147" i="8"/>
  <c r="AO51" i="7"/>
  <c r="AP147" i="8"/>
  <c r="C51" i="6"/>
  <c r="AQ147" i="8"/>
  <c r="AQ51" i="7"/>
  <c r="AR147" i="8"/>
  <c r="AR51" i="7"/>
  <c r="AS147" i="8"/>
  <c r="AS51" i="7"/>
  <c r="AT147" i="8"/>
  <c r="AT51" i="7"/>
  <c r="AU147" i="8"/>
  <c r="AU51" i="7"/>
  <c r="AV147" i="8"/>
  <c r="I51" i="6"/>
  <c r="AW147" i="8"/>
  <c r="AW51" i="7"/>
  <c r="AX147" i="8"/>
  <c r="AX51" i="7"/>
  <c r="AY147" i="8"/>
  <c r="AY51" i="7"/>
  <c r="AZ147" i="8"/>
  <c r="M51" i="6"/>
  <c r="BA147" i="8"/>
  <c r="BA51" i="7"/>
  <c r="F148" i="8"/>
  <c r="G148" i="8"/>
  <c r="H148" i="8"/>
  <c r="I148" i="8"/>
  <c r="I52" i="7"/>
  <c r="J148" i="8"/>
  <c r="K148" i="8"/>
  <c r="K52" i="7"/>
  <c r="L148" i="8"/>
  <c r="M148" i="8"/>
  <c r="J52" i="3"/>
  <c r="N148" i="8"/>
  <c r="O148" i="8"/>
  <c r="O52" i="7"/>
  <c r="P148" i="8"/>
  <c r="P52" i="7"/>
  <c r="Q148" i="8"/>
  <c r="N52" i="3"/>
  <c r="R148" i="8"/>
  <c r="R52" i="7"/>
  <c r="S148" i="8"/>
  <c r="D52" i="4"/>
  <c r="T148" i="8"/>
  <c r="T52" i="7"/>
  <c r="T53" i="7"/>
  <c r="U148" i="8"/>
  <c r="U52" i="7"/>
  <c r="V148" i="8"/>
  <c r="V52" i="7"/>
  <c r="W148" i="8"/>
  <c r="H52" i="4"/>
  <c r="X148" i="8"/>
  <c r="I52" i="4"/>
  <c r="Y148" i="8"/>
  <c r="Y52" i="7"/>
  <c r="Z148" i="8"/>
  <c r="Z52" i="7"/>
  <c r="AA148" i="8"/>
  <c r="AB148" i="8"/>
  <c r="M52" i="4"/>
  <c r="AC148" i="8"/>
  <c r="AD148" i="8"/>
  <c r="AE148" i="8"/>
  <c r="AE52" i="7"/>
  <c r="AF148" i="8"/>
  <c r="AF52" i="7"/>
  <c r="AG148" i="8"/>
  <c r="F52" i="5"/>
  <c r="AH148" i="8"/>
  <c r="AI148" i="8"/>
  <c r="H52" i="5"/>
  <c r="AJ148" i="8"/>
  <c r="AJ52" i="7"/>
  <c r="AK148" i="8"/>
  <c r="J52" i="5"/>
  <c r="AL148" i="8"/>
  <c r="AM148" i="8"/>
  <c r="L52" i="5"/>
  <c r="AN148" i="8"/>
  <c r="AO148" i="8"/>
  <c r="AO52" i="7"/>
  <c r="AP148" i="8"/>
  <c r="AP52" i="7"/>
  <c r="AQ148" i="8"/>
  <c r="AR148" i="8"/>
  <c r="E52" i="6"/>
  <c r="AS148" i="8"/>
  <c r="AT148" i="8"/>
  <c r="AT52" i="7"/>
  <c r="AU148" i="8"/>
  <c r="AV148" i="8"/>
  <c r="AV52" i="7"/>
  <c r="AW148" i="8"/>
  <c r="AX148" i="8"/>
  <c r="AX52" i="7"/>
  <c r="AY148" i="8"/>
  <c r="L52" i="6"/>
  <c r="AZ148" i="8"/>
  <c r="AZ52" i="7"/>
  <c r="AZ53" i="7"/>
  <c r="BA148" i="8"/>
  <c r="BA52" i="7"/>
  <c r="C149" i="8"/>
  <c r="D149" i="8"/>
  <c r="E149" i="8"/>
  <c r="H149" i="8"/>
  <c r="K149" i="8"/>
  <c r="L149" i="8"/>
  <c r="P149" i="8"/>
  <c r="S149" i="8"/>
  <c r="T149" i="8"/>
  <c r="X149" i="8"/>
  <c r="AA149" i="8"/>
  <c r="AB149" i="8"/>
  <c r="AF149" i="8"/>
  <c r="AI149" i="8"/>
  <c r="AJ149" i="8"/>
  <c r="AN149" i="8"/>
  <c r="AQ149" i="8"/>
  <c r="AR149" i="8"/>
  <c r="AV149" i="8"/>
  <c r="AY149" i="8"/>
  <c r="AZ149" i="8"/>
  <c r="F152" i="8"/>
  <c r="F157" i="8"/>
  <c r="G152" i="8"/>
  <c r="H152" i="8"/>
  <c r="I152" i="8"/>
  <c r="I56" i="7"/>
  <c r="J152" i="8"/>
  <c r="J157" i="8"/>
  <c r="K152" i="8"/>
  <c r="L152" i="8"/>
  <c r="L157" i="8"/>
  <c r="M152" i="8"/>
  <c r="M56" i="7"/>
  <c r="N152" i="8"/>
  <c r="N157" i="8"/>
  <c r="O152" i="8"/>
  <c r="P152" i="8"/>
  <c r="Q152" i="8"/>
  <c r="R152" i="8"/>
  <c r="R56" i="7"/>
  <c r="S152" i="8"/>
  <c r="T152" i="8"/>
  <c r="T56" i="7"/>
  <c r="U152" i="8"/>
  <c r="F56" i="4"/>
  <c r="V152" i="8"/>
  <c r="V157" i="8"/>
  <c r="W152" i="8"/>
  <c r="X152" i="8"/>
  <c r="X56" i="7"/>
  <c r="Y152" i="8"/>
  <c r="J56" i="4"/>
  <c r="Z152" i="8"/>
  <c r="Z157" i="8"/>
  <c r="AA152" i="8"/>
  <c r="AB152" i="8"/>
  <c r="AB56" i="7"/>
  <c r="AC152" i="8"/>
  <c r="AC56" i="7"/>
  <c r="AD152" i="8"/>
  <c r="AD157" i="8"/>
  <c r="AE152" i="8"/>
  <c r="AF152" i="8"/>
  <c r="AG152" i="8"/>
  <c r="AH152" i="8"/>
  <c r="AH56" i="7"/>
  <c r="AI152" i="8"/>
  <c r="AJ152" i="8"/>
  <c r="AJ157" i="8"/>
  <c r="AK152" i="8"/>
  <c r="AL152" i="8"/>
  <c r="AL157" i="8"/>
  <c r="AM152" i="8"/>
  <c r="AN152" i="8"/>
  <c r="AO152" i="8"/>
  <c r="AO56" i="7"/>
  <c r="AP152" i="8"/>
  <c r="AP157" i="8"/>
  <c r="AQ152" i="8"/>
  <c r="AR152" i="8"/>
  <c r="AR56" i="7"/>
  <c r="AS152" i="8"/>
  <c r="AS56" i="7"/>
  <c r="AT152" i="8"/>
  <c r="AT157" i="8"/>
  <c r="AU152" i="8"/>
  <c r="AV152" i="8"/>
  <c r="AV56" i="7"/>
  <c r="AW152" i="8"/>
  <c r="J56" i="6"/>
  <c r="AX152" i="8"/>
  <c r="AX56" i="7"/>
  <c r="AY152" i="8"/>
  <c r="AZ152" i="8"/>
  <c r="AZ56" i="7"/>
  <c r="BA152" i="8"/>
  <c r="N56" i="6"/>
  <c r="F153" i="8"/>
  <c r="C57" i="3"/>
  <c r="G153" i="8"/>
  <c r="D57" i="3"/>
  <c r="H153" i="8"/>
  <c r="H57" i="7"/>
  <c r="I153" i="8"/>
  <c r="I57" i="7"/>
  <c r="J153" i="8"/>
  <c r="G57" i="3"/>
  <c r="K153" i="8"/>
  <c r="H57" i="3"/>
  <c r="L153" i="8"/>
  <c r="L57" i="7"/>
  <c r="M153" i="8"/>
  <c r="M57" i="7"/>
  <c r="N153" i="8"/>
  <c r="N57" i="7"/>
  <c r="O153" i="8"/>
  <c r="P153" i="8"/>
  <c r="P57" i="7"/>
  <c r="Q153" i="8"/>
  <c r="Q57" i="7"/>
  <c r="R153" i="8"/>
  <c r="S153" i="8"/>
  <c r="S57" i="7"/>
  <c r="T153" i="8"/>
  <c r="U153" i="8"/>
  <c r="U57" i="7"/>
  <c r="V153" i="8"/>
  <c r="W153" i="8"/>
  <c r="W57" i="7"/>
  <c r="X153" i="8"/>
  <c r="Y153" i="8"/>
  <c r="Y57" i="7"/>
  <c r="Z153" i="8"/>
  <c r="Z57" i="7"/>
  <c r="AA153" i="8"/>
  <c r="AA57" i="7"/>
  <c r="AB153" i="8"/>
  <c r="M57" i="4"/>
  <c r="AC153" i="8"/>
  <c r="AC57" i="7"/>
  <c r="AD153" i="8"/>
  <c r="AD57" i="7"/>
  <c r="AE153" i="8"/>
  <c r="AF153" i="8"/>
  <c r="E57" i="5"/>
  <c r="AG153" i="8"/>
  <c r="AG57" i="7"/>
  <c r="AH153" i="8"/>
  <c r="G57" i="5"/>
  <c r="AI153" i="8"/>
  <c r="AJ153" i="8"/>
  <c r="AJ57" i="7"/>
  <c r="AK153" i="8"/>
  <c r="AK57" i="7"/>
  <c r="AL153" i="8"/>
  <c r="K57" i="5"/>
  <c r="AM153" i="8"/>
  <c r="L57" i="5"/>
  <c r="AN153" i="8"/>
  <c r="AN57" i="7"/>
  <c r="AO153" i="8"/>
  <c r="AO57" i="7"/>
  <c r="AP153" i="8"/>
  <c r="AP57" i="7"/>
  <c r="AQ153" i="8"/>
  <c r="AR153" i="8"/>
  <c r="E57" i="6"/>
  <c r="AS153" i="8"/>
  <c r="AS57" i="7"/>
  <c r="AT153" i="8"/>
  <c r="AT57" i="7"/>
  <c r="AU153" i="8"/>
  <c r="AU57" i="7"/>
  <c r="AV153" i="8"/>
  <c r="I57" i="6"/>
  <c r="AW153" i="8"/>
  <c r="AW57" i="7"/>
  <c r="AX153" i="8"/>
  <c r="AY153" i="8"/>
  <c r="AY57" i="7"/>
  <c r="AZ153" i="8"/>
  <c r="BA153" i="8"/>
  <c r="BA57" i="7"/>
  <c r="F154" i="8"/>
  <c r="F58" i="7"/>
  <c r="G154" i="8"/>
  <c r="G58" i="7"/>
  <c r="H154" i="8"/>
  <c r="H58" i="7"/>
  <c r="I154" i="8"/>
  <c r="F58" i="3"/>
  <c r="J154" i="8"/>
  <c r="J58" i="7"/>
  <c r="K154" i="8"/>
  <c r="K58" i="7"/>
  <c r="L154" i="8"/>
  <c r="L58" i="7"/>
  <c r="M154" i="8"/>
  <c r="J58" i="3"/>
  <c r="N154" i="8"/>
  <c r="N58" i="7"/>
  <c r="O154" i="8"/>
  <c r="O58" i="7"/>
  <c r="P154" i="8"/>
  <c r="P58" i="7"/>
  <c r="Q154" i="8"/>
  <c r="N58" i="3"/>
  <c r="R154" i="8"/>
  <c r="R58" i="7"/>
  <c r="S154" i="8"/>
  <c r="D58" i="4"/>
  <c r="T154" i="8"/>
  <c r="E58" i="4"/>
  <c r="U154" i="8"/>
  <c r="U58" i="7"/>
  <c r="V154" i="8"/>
  <c r="V58" i="7"/>
  <c r="W154" i="8"/>
  <c r="X154" i="8"/>
  <c r="I58" i="4"/>
  <c r="Y154" i="8"/>
  <c r="Z154" i="8"/>
  <c r="Z58" i="7"/>
  <c r="AA154" i="8"/>
  <c r="AB154" i="8"/>
  <c r="AC154" i="8"/>
  <c r="AD154" i="8"/>
  <c r="AD58" i="7"/>
  <c r="AE154" i="8"/>
  <c r="AF154" i="8"/>
  <c r="AF58" i="7"/>
  <c r="AG154" i="8"/>
  <c r="F58" i="5"/>
  <c r="AH154" i="8"/>
  <c r="AH58" i="7"/>
  <c r="AI154" i="8"/>
  <c r="AI58" i="7"/>
  <c r="AJ154" i="8"/>
  <c r="AJ58" i="7"/>
  <c r="AK154" i="8"/>
  <c r="AK58" i="7"/>
  <c r="AL154" i="8"/>
  <c r="AL58" i="7"/>
  <c r="AM154" i="8"/>
  <c r="AM58" i="7"/>
  <c r="AN154" i="8"/>
  <c r="AN58" i="7"/>
  <c r="AO154" i="8"/>
  <c r="N58" i="5"/>
  <c r="AP154" i="8"/>
  <c r="AP58" i="7"/>
  <c r="AQ154" i="8"/>
  <c r="AR154" i="8"/>
  <c r="AS154" i="8"/>
  <c r="AT154" i="8"/>
  <c r="AT58" i="7"/>
  <c r="AU154" i="8"/>
  <c r="H58" i="6"/>
  <c r="AV154" i="8"/>
  <c r="AW154" i="8"/>
  <c r="AW58" i="7"/>
  <c r="AX154" i="8"/>
  <c r="AX58" i="7"/>
  <c r="AY154" i="8"/>
  <c r="L58" i="6"/>
  <c r="AZ154" i="8"/>
  <c r="M58" i="6"/>
  <c r="BA154" i="8"/>
  <c r="BA58" i="7"/>
  <c r="F155" i="8"/>
  <c r="F59" i="7"/>
  <c r="G155" i="8"/>
  <c r="G59" i="7"/>
  <c r="H155" i="8"/>
  <c r="I155" i="8"/>
  <c r="F59" i="3"/>
  <c r="J155" i="8"/>
  <c r="K155" i="8"/>
  <c r="K59" i="7"/>
  <c r="L155" i="8"/>
  <c r="M155" i="8"/>
  <c r="M59" i="7"/>
  <c r="N155" i="8"/>
  <c r="O155" i="8"/>
  <c r="O59" i="7"/>
  <c r="P155" i="8"/>
  <c r="M59" i="3"/>
  <c r="Q155" i="8"/>
  <c r="Q59" i="7"/>
  <c r="R155" i="8"/>
  <c r="C59" i="4"/>
  <c r="S155" i="8"/>
  <c r="T155" i="8"/>
  <c r="U155" i="8"/>
  <c r="V155" i="8"/>
  <c r="V59" i="7"/>
  <c r="W155" i="8"/>
  <c r="X155" i="8"/>
  <c r="X59" i="7"/>
  <c r="Y155" i="8"/>
  <c r="Z155" i="8"/>
  <c r="K59" i="4"/>
  <c r="AA155" i="8"/>
  <c r="AB155" i="8"/>
  <c r="AB59" i="7"/>
  <c r="AC155" i="8"/>
  <c r="AC59" i="7"/>
  <c r="AD155" i="8"/>
  <c r="AE155" i="8"/>
  <c r="AE59" i="7"/>
  <c r="AF155" i="8"/>
  <c r="E59" i="5"/>
  <c r="AG155" i="8"/>
  <c r="AG59" i="7"/>
  <c r="AH155" i="8"/>
  <c r="AH59" i="7"/>
  <c r="AI155" i="8"/>
  <c r="AI59" i="7"/>
  <c r="AJ155" i="8"/>
  <c r="I59" i="5"/>
  <c r="AK155" i="8"/>
  <c r="J59" i="5"/>
  <c r="AL155" i="8"/>
  <c r="AL59" i="7"/>
  <c r="AM155" i="8"/>
  <c r="AM59" i="7"/>
  <c r="AN155" i="8"/>
  <c r="AO155" i="8"/>
  <c r="N59" i="5"/>
  <c r="AP155" i="8"/>
  <c r="C59" i="6"/>
  <c r="AQ155" i="8"/>
  <c r="AR155" i="8"/>
  <c r="AR59" i="7"/>
  <c r="AS155" i="8"/>
  <c r="AS59" i="7"/>
  <c r="AT155" i="8"/>
  <c r="G59" i="6"/>
  <c r="AU155" i="8"/>
  <c r="AV155" i="8"/>
  <c r="AV59" i="7"/>
  <c r="AW155" i="8"/>
  <c r="AW59" i="7"/>
  <c r="AX155" i="8"/>
  <c r="K59" i="6"/>
  <c r="AY155" i="8"/>
  <c r="AZ155" i="8"/>
  <c r="M59" i="6"/>
  <c r="BA155" i="8"/>
  <c r="F156" i="8"/>
  <c r="G156" i="8"/>
  <c r="H156" i="8"/>
  <c r="I156" i="8"/>
  <c r="I60" i="7"/>
  <c r="J156" i="8"/>
  <c r="K156" i="8"/>
  <c r="H60" i="3"/>
  <c r="L156" i="8"/>
  <c r="M156" i="8"/>
  <c r="M60" i="7"/>
  <c r="N156" i="8"/>
  <c r="N60" i="7"/>
  <c r="O156" i="8"/>
  <c r="L60" i="3"/>
  <c r="P156" i="8"/>
  <c r="Q156" i="8"/>
  <c r="R156" i="8"/>
  <c r="R60" i="7"/>
  <c r="S156" i="8"/>
  <c r="S60" i="7"/>
  <c r="T156" i="8"/>
  <c r="T60" i="7"/>
  <c r="U156" i="8"/>
  <c r="F60" i="4"/>
  <c r="V156" i="8"/>
  <c r="G60" i="4"/>
  <c r="W156" i="8"/>
  <c r="W60" i="7"/>
  <c r="X156" i="8"/>
  <c r="X60" i="7"/>
  <c r="Y156" i="8"/>
  <c r="J60" i="4"/>
  <c r="Z156" i="8"/>
  <c r="K60" i="4"/>
  <c r="AA156" i="8"/>
  <c r="AA60" i="7"/>
  <c r="AB156" i="8"/>
  <c r="AB60" i="7"/>
  <c r="AC156" i="8"/>
  <c r="N60" i="4"/>
  <c r="AD156" i="8"/>
  <c r="AE156" i="8"/>
  <c r="D60" i="5"/>
  <c r="AF156" i="8"/>
  <c r="AG156" i="8"/>
  <c r="AG60" i="7"/>
  <c r="AH156" i="8"/>
  <c r="AI156" i="8"/>
  <c r="H60" i="5"/>
  <c r="AJ156" i="8"/>
  <c r="AK156" i="8"/>
  <c r="AK60" i="7"/>
  <c r="AL156" i="8"/>
  <c r="AM156" i="8"/>
  <c r="L60" i="5"/>
  <c r="AN156" i="8"/>
  <c r="AO156" i="8"/>
  <c r="AO60" i="7"/>
  <c r="AP156" i="8"/>
  <c r="C60" i="6"/>
  <c r="AQ156" i="8"/>
  <c r="AQ60" i="7"/>
  <c r="AR156" i="8"/>
  <c r="AR60" i="7"/>
  <c r="AS156" i="8"/>
  <c r="F60" i="6"/>
  <c r="AT156" i="8"/>
  <c r="G60" i="6"/>
  <c r="AU156" i="8"/>
  <c r="H60" i="6"/>
  <c r="AV156" i="8"/>
  <c r="AV60" i="7"/>
  <c r="AW156" i="8"/>
  <c r="J60" i="6"/>
  <c r="AX156" i="8"/>
  <c r="K60" i="6"/>
  <c r="AY156" i="8"/>
  <c r="AY60" i="7"/>
  <c r="AZ156" i="8"/>
  <c r="AZ60" i="7"/>
  <c r="BA156" i="8"/>
  <c r="N60" i="6"/>
  <c r="C157" i="8"/>
  <c r="D157" i="8"/>
  <c r="E157" i="8"/>
  <c r="H157" i="8"/>
  <c r="I157" i="8"/>
  <c r="M157" i="8"/>
  <c r="P157" i="8"/>
  <c r="Q157" i="8"/>
  <c r="U157" i="8"/>
  <c r="X157" i="8"/>
  <c r="Y157" i="8"/>
  <c r="Y30" i="14"/>
  <c r="Y31" i="14"/>
  <c r="AC157" i="8"/>
  <c r="AC30" i="15"/>
  <c r="AC31" i="15"/>
  <c r="AF157" i="8"/>
  <c r="AG157" i="8"/>
  <c r="AK157" i="8"/>
  <c r="AN157" i="8"/>
  <c r="AO157" i="8"/>
  <c r="AS157" i="8"/>
  <c r="AV157" i="8"/>
  <c r="AW157" i="8"/>
  <c r="BA157" i="8"/>
  <c r="C161" i="8"/>
  <c r="E161" i="8"/>
  <c r="H161" i="8"/>
  <c r="I161" i="8"/>
  <c r="L161" i="8"/>
  <c r="M161" i="8"/>
  <c r="N161" i="8"/>
  <c r="P161" i="8"/>
  <c r="Q161" i="8"/>
  <c r="S161" i="8"/>
  <c r="T161" i="8"/>
  <c r="W161" i="8"/>
  <c r="X161" i="8"/>
  <c r="AA161" i="8"/>
  <c r="AB161" i="8"/>
  <c r="AD161" i="8"/>
  <c r="AE161" i="8"/>
  <c r="AH161" i="8"/>
  <c r="AI161" i="8"/>
  <c r="AK161" i="8"/>
  <c r="AM161" i="8"/>
  <c r="AP161" i="8"/>
  <c r="AT161" i="8"/>
  <c r="AW161" i="8"/>
  <c r="AX161" i="8"/>
  <c r="O162" i="8"/>
  <c r="W162" i="8"/>
  <c r="W163" i="8"/>
  <c r="AE162" i="8"/>
  <c r="AE163" i="8"/>
  <c r="AM162" i="8"/>
  <c r="AM163" i="8"/>
  <c r="AU162" i="8"/>
  <c r="F168" i="8"/>
  <c r="C70" i="3"/>
  <c r="G168" i="8"/>
  <c r="D70" i="3"/>
  <c r="H168" i="8"/>
  <c r="I168" i="8"/>
  <c r="I70" i="7"/>
  <c r="J168" i="8"/>
  <c r="G70" i="3"/>
  <c r="K168" i="8"/>
  <c r="H70" i="3"/>
  <c r="L168" i="8"/>
  <c r="L70" i="7"/>
  <c r="M168" i="8"/>
  <c r="M70" i="7"/>
  <c r="N168" i="8"/>
  <c r="K70" i="3"/>
  <c r="O168" i="8"/>
  <c r="L70" i="3"/>
  <c r="P168" i="8"/>
  <c r="Q168" i="8"/>
  <c r="Q70" i="7"/>
  <c r="R168" i="8"/>
  <c r="R70" i="7"/>
  <c r="S168" i="8"/>
  <c r="S70" i="7"/>
  <c r="T168" i="8"/>
  <c r="E70" i="4"/>
  <c r="U168" i="8"/>
  <c r="U70" i="7"/>
  <c r="V168" i="8"/>
  <c r="V70" i="7"/>
  <c r="W168" i="8"/>
  <c r="H70" i="4"/>
  <c r="X168" i="8"/>
  <c r="I70" i="4"/>
  <c r="Y168" i="8"/>
  <c r="Y70" i="7"/>
  <c r="Z168" i="8"/>
  <c r="Z70" i="7"/>
  <c r="AA168" i="8"/>
  <c r="AA70" i="7"/>
  <c r="AB168" i="8"/>
  <c r="M70" i="4"/>
  <c r="AC168" i="8"/>
  <c r="AC70" i="7"/>
  <c r="AD168" i="8"/>
  <c r="C70" i="5"/>
  <c r="AE168" i="8"/>
  <c r="D70" i="5"/>
  <c r="AF168" i="8"/>
  <c r="E70" i="5"/>
  <c r="AG168" i="8"/>
  <c r="AG70" i="7"/>
  <c r="AH168" i="8"/>
  <c r="G70" i="5"/>
  <c r="AI168" i="8"/>
  <c r="H70" i="5"/>
  <c r="AJ168" i="8"/>
  <c r="I70" i="5"/>
  <c r="AK168" i="8"/>
  <c r="AK70" i="7"/>
  <c r="AL168" i="8"/>
  <c r="K70" i="5"/>
  <c r="AM168" i="8"/>
  <c r="L70" i="5"/>
  <c r="AN168" i="8"/>
  <c r="M70" i="5"/>
  <c r="AO168" i="8"/>
  <c r="AO70" i="7"/>
  <c r="AP168" i="8"/>
  <c r="AP70" i="7"/>
  <c r="AQ168" i="8"/>
  <c r="AQ70" i="7"/>
  <c r="AR168" i="8"/>
  <c r="E70" i="6"/>
  <c r="AS168" i="8"/>
  <c r="AS70" i="7"/>
  <c r="AT168" i="8"/>
  <c r="AT70" i="7"/>
  <c r="AU168" i="8"/>
  <c r="AV168" i="8"/>
  <c r="I70" i="6"/>
  <c r="AW168" i="8"/>
  <c r="AW70" i="7"/>
  <c r="AX168" i="8"/>
  <c r="AX70" i="7"/>
  <c r="AY168" i="8"/>
  <c r="AY70" i="7"/>
  <c r="AZ168" i="8"/>
  <c r="M70" i="6"/>
  <c r="BA168" i="8"/>
  <c r="BA70" i="7"/>
  <c r="F169" i="8"/>
  <c r="F71" i="7"/>
  <c r="G169" i="8"/>
  <c r="G71" i="7"/>
  <c r="H169" i="8"/>
  <c r="H71" i="7"/>
  <c r="I169" i="8"/>
  <c r="F71" i="3"/>
  <c r="J169" i="8"/>
  <c r="J71" i="7"/>
  <c r="K169" i="8"/>
  <c r="K71" i="7"/>
  <c r="L169" i="8"/>
  <c r="I71" i="3"/>
  <c r="M169" i="8"/>
  <c r="J71" i="3"/>
  <c r="N169" i="8"/>
  <c r="N71" i="7"/>
  <c r="O169" i="8"/>
  <c r="O71" i="7"/>
  <c r="P169" i="8"/>
  <c r="M71" i="3"/>
  <c r="Q169" i="8"/>
  <c r="N71" i="3"/>
  <c r="R169" i="8"/>
  <c r="R71" i="7"/>
  <c r="S169" i="8"/>
  <c r="T169" i="8"/>
  <c r="E71" i="4"/>
  <c r="U169" i="8"/>
  <c r="V169" i="8"/>
  <c r="V71" i="7"/>
  <c r="W169" i="8"/>
  <c r="X169" i="8"/>
  <c r="I71" i="4"/>
  <c r="Y169" i="8"/>
  <c r="Z169" i="8"/>
  <c r="Z71" i="7"/>
  <c r="AA169" i="8"/>
  <c r="AB169" i="8"/>
  <c r="M71" i="4"/>
  <c r="AC169" i="8"/>
  <c r="AD169" i="8"/>
  <c r="AD71" i="7"/>
  <c r="AE169" i="8"/>
  <c r="AE71" i="7"/>
  <c r="AF169" i="8"/>
  <c r="AF71" i="7"/>
  <c r="AG169" i="8"/>
  <c r="F71" i="5"/>
  <c r="AH169" i="8"/>
  <c r="AH71" i="7"/>
  <c r="AI169" i="8"/>
  <c r="AI71" i="7"/>
  <c r="AJ169" i="8"/>
  <c r="I71" i="5"/>
  <c r="AK169" i="8"/>
  <c r="J71" i="5"/>
  <c r="AL169" i="8"/>
  <c r="AL71" i="7"/>
  <c r="AM169" i="8"/>
  <c r="AM71" i="7"/>
  <c r="AN169" i="8"/>
  <c r="AN71" i="7"/>
  <c r="AO169" i="8"/>
  <c r="N71" i="5"/>
  <c r="AP169" i="8"/>
  <c r="AP71" i="7"/>
  <c r="AQ169" i="8"/>
  <c r="AR169" i="8"/>
  <c r="E71" i="6"/>
  <c r="AS169" i="8"/>
  <c r="AT169" i="8"/>
  <c r="AT71" i="7"/>
  <c r="AU169" i="8"/>
  <c r="AV169" i="8"/>
  <c r="I71" i="6"/>
  <c r="AW169" i="8"/>
  <c r="AX169" i="8"/>
  <c r="AX71" i="7"/>
  <c r="AY169" i="8"/>
  <c r="AZ169" i="8"/>
  <c r="M71" i="6"/>
  <c r="BA169" i="8"/>
  <c r="C170" i="8"/>
  <c r="D170" i="8"/>
  <c r="E170" i="8"/>
  <c r="Y69" i="8"/>
  <c r="Y134" i="8"/>
  <c r="Y74" i="8"/>
  <c r="AV30" i="16"/>
  <c r="AV30" i="14"/>
  <c r="AV31" i="14"/>
  <c r="AT30" i="13"/>
  <c r="AT31" i="13"/>
  <c r="P30" i="13"/>
  <c r="P31" i="13"/>
  <c r="P30" i="16"/>
  <c r="P30" i="14"/>
  <c r="P31" i="14"/>
  <c r="P30" i="15"/>
  <c r="P31" i="15"/>
  <c r="AB61" i="7"/>
  <c r="AB28" i="15"/>
  <c r="AB29" i="15"/>
  <c r="AB28" i="16"/>
  <c r="AB28" i="14"/>
  <c r="AB29" i="14"/>
  <c r="D42" i="5"/>
  <c r="AE42" i="7"/>
  <c r="H37" i="5"/>
  <c r="AI37" i="7"/>
  <c r="S37" i="7"/>
  <c r="D37" i="4"/>
  <c r="C29" i="6"/>
  <c r="AP29" i="7"/>
  <c r="AP91" i="8"/>
  <c r="AX22" i="13"/>
  <c r="AZ22" i="16"/>
  <c r="AZ22" i="14"/>
  <c r="AP22" i="13"/>
  <c r="AR22" i="16"/>
  <c r="AR22" i="14"/>
  <c r="AH22" i="13"/>
  <c r="AJ22" i="16"/>
  <c r="AJ22" i="15"/>
  <c r="AB22" i="16"/>
  <c r="AB22" i="15"/>
  <c r="AB22" i="14"/>
  <c r="T22" i="16"/>
  <c r="T22" i="15"/>
  <c r="T22" i="14"/>
  <c r="L22" i="13"/>
  <c r="L22" i="16"/>
  <c r="L22" i="15"/>
  <c r="L22" i="14"/>
  <c r="D21" i="11"/>
  <c r="D22" i="13"/>
  <c r="D22" i="16"/>
  <c r="D22" i="15"/>
  <c r="D22" i="14"/>
  <c r="U74" i="8"/>
  <c r="AL111" i="8"/>
  <c r="AL117" i="8"/>
  <c r="AL133" i="8"/>
  <c r="AL116" i="8"/>
  <c r="AL138" i="8"/>
  <c r="AL90" i="8"/>
  <c r="AL161" i="8"/>
  <c r="AL123" i="8"/>
  <c r="AL98" i="8"/>
  <c r="AL106" i="8"/>
  <c r="AL66" i="8"/>
  <c r="AL99" i="8"/>
  <c r="O377" i="10"/>
  <c r="AC116" i="8"/>
  <c r="AC138" i="8"/>
  <c r="AC123" i="8"/>
  <c r="AC99" i="8"/>
  <c r="AC107" i="8"/>
  <c r="AC128" i="8"/>
  <c r="AC133" i="8"/>
  <c r="AC90" i="8"/>
  <c r="AC161" i="8"/>
  <c r="AC98" i="8"/>
  <c r="AC106" i="8"/>
  <c r="AC111" i="8"/>
  <c r="AC112" i="8"/>
  <c r="U116" i="8"/>
  <c r="U138" i="8"/>
  <c r="U123" i="8"/>
  <c r="U99" i="8"/>
  <c r="U107" i="8"/>
  <c r="U111" i="8"/>
  <c r="U128" i="8"/>
  <c r="U133" i="8"/>
  <c r="U90" i="8"/>
  <c r="U161" i="8"/>
  <c r="U98" i="8"/>
  <c r="U106" i="8"/>
  <c r="I53" i="4"/>
  <c r="AR53" i="7"/>
  <c r="AB53" i="7"/>
  <c r="S140" i="8"/>
  <c r="W24" i="14"/>
  <c r="W25" i="14"/>
  <c r="W24" i="15"/>
  <c r="W25" i="15"/>
  <c r="W24" i="16"/>
  <c r="J64" i="8"/>
  <c r="AS116" i="8"/>
  <c r="AS138" i="8"/>
  <c r="AS123" i="8"/>
  <c r="AS99" i="8"/>
  <c r="AS90" i="8"/>
  <c r="AS161" i="8"/>
  <c r="AS98" i="8"/>
  <c r="AS106" i="8"/>
  <c r="AS111" i="8"/>
  <c r="AS66" i="8"/>
  <c r="J111" i="8"/>
  <c r="J133" i="8"/>
  <c r="J116" i="8"/>
  <c r="J138" i="8"/>
  <c r="J90" i="8"/>
  <c r="J161" i="8"/>
  <c r="J98" i="8"/>
  <c r="J106" i="8"/>
  <c r="J66" i="8"/>
  <c r="W32" i="14"/>
  <c r="W32" i="15"/>
  <c r="W32" i="16"/>
  <c r="W32" i="13"/>
  <c r="H64" i="4"/>
  <c r="W64" i="7"/>
  <c r="AF30" i="16"/>
  <c r="AD30" i="13"/>
  <c r="AD31" i="13"/>
  <c r="AF30" i="15"/>
  <c r="AF31" i="15"/>
  <c r="AP28" i="13"/>
  <c r="AP29" i="13"/>
  <c r="AR28" i="16"/>
  <c r="AR28" i="14"/>
  <c r="AR29" i="14"/>
  <c r="L28" i="13"/>
  <c r="L29" i="13"/>
  <c r="L28" i="15"/>
  <c r="L29" i="15"/>
  <c r="L28" i="16"/>
  <c r="L28" i="14"/>
  <c r="L29" i="14"/>
  <c r="L42" i="7"/>
  <c r="I42" i="3"/>
  <c r="O125" i="8"/>
  <c r="AA37" i="7"/>
  <c r="L37" i="4"/>
  <c r="C37" i="7"/>
  <c r="C37" i="2"/>
  <c r="N36" i="6"/>
  <c r="BA36" i="7"/>
  <c r="J36" i="6"/>
  <c r="AW36" i="7"/>
  <c r="F36" i="6"/>
  <c r="AS36" i="7"/>
  <c r="N36" i="5"/>
  <c r="AO36" i="7"/>
  <c r="AK36" i="7"/>
  <c r="J36" i="5"/>
  <c r="AG36" i="7"/>
  <c r="F36" i="5"/>
  <c r="N36" i="4"/>
  <c r="AC36" i="7"/>
  <c r="J36" i="4"/>
  <c r="Y36" i="7"/>
  <c r="F36" i="4"/>
  <c r="U36" i="7"/>
  <c r="Q36" i="7"/>
  <c r="N36" i="3"/>
  <c r="M36" i="7"/>
  <c r="J36" i="3"/>
  <c r="F36" i="3"/>
  <c r="I36" i="7"/>
  <c r="E36" i="7"/>
  <c r="E36" i="2"/>
  <c r="G36" i="2"/>
  <c r="C36" i="1"/>
  <c r="AB107" i="8"/>
  <c r="AB108" i="8"/>
  <c r="AB129" i="8"/>
  <c r="AB130" i="8"/>
  <c r="AB162" i="8"/>
  <c r="AB163" i="8"/>
  <c r="AB112" i="8"/>
  <c r="AB134" i="8"/>
  <c r="AB101" i="8"/>
  <c r="AB102" i="8"/>
  <c r="AB139" i="8"/>
  <c r="T107" i="8"/>
  <c r="T108" i="8"/>
  <c r="T129" i="8"/>
  <c r="T130" i="8"/>
  <c r="T162" i="8"/>
  <c r="T163" i="8"/>
  <c r="T112" i="8"/>
  <c r="T113" i="8"/>
  <c r="T134" i="8"/>
  <c r="T101" i="8"/>
  <c r="T102" i="8"/>
  <c r="T139" i="8"/>
  <c r="L107" i="8"/>
  <c r="L108" i="8"/>
  <c r="L129" i="8"/>
  <c r="L130" i="8"/>
  <c r="L162" i="8"/>
  <c r="L163" i="8"/>
  <c r="L112" i="8"/>
  <c r="L134" i="8"/>
  <c r="L101" i="8"/>
  <c r="L102" i="8"/>
  <c r="L139" i="8"/>
  <c r="AE24" i="15"/>
  <c r="AE25" i="15"/>
  <c r="AE24" i="16"/>
  <c r="AK29" i="7"/>
  <c r="AK91" i="8"/>
  <c r="J29" i="5"/>
  <c r="I91" i="8"/>
  <c r="I29" i="7"/>
  <c r="F29" i="3"/>
  <c r="BA61" i="8"/>
  <c r="BA62" i="8"/>
  <c r="BA63" i="8"/>
  <c r="AW61" i="8"/>
  <c r="AW62" i="8"/>
  <c r="AW63" i="8"/>
  <c r="AS64" i="8"/>
  <c r="AS69" i="8"/>
  <c r="AK61" i="8"/>
  <c r="AK62" i="8"/>
  <c r="AK63" i="8"/>
  <c r="AG61" i="8"/>
  <c r="AG64" i="8"/>
  <c r="AG69" i="8"/>
  <c r="AG62" i="8"/>
  <c r="AG63" i="8"/>
  <c r="AC64" i="8"/>
  <c r="U61" i="8"/>
  <c r="U64" i="8"/>
  <c r="U69" i="8"/>
  <c r="U62" i="8"/>
  <c r="U63" i="8"/>
  <c r="Q61" i="8"/>
  <c r="Q62" i="8"/>
  <c r="Q63" i="8"/>
  <c r="M64" i="8"/>
  <c r="M69" i="8"/>
  <c r="AC66" i="8"/>
  <c r="D45" i="8"/>
  <c r="D40" i="8"/>
  <c r="C16" i="8"/>
  <c r="C27" i="8"/>
  <c r="C25" i="8"/>
  <c r="C33" i="8"/>
  <c r="C44" i="8"/>
  <c r="AT39" i="8"/>
  <c r="AL39" i="8"/>
  <c r="AD39" i="8"/>
  <c r="V39" i="8"/>
  <c r="N39" i="8"/>
  <c r="F39" i="8"/>
  <c r="O66" i="8"/>
  <c r="O90" i="8"/>
  <c r="O98" i="8"/>
  <c r="O102" i="8"/>
  <c r="O106" i="8"/>
  <c r="O112" i="8"/>
  <c r="O128" i="8"/>
  <c r="O161" i="8"/>
  <c r="O163" i="8"/>
  <c r="O139" i="8"/>
  <c r="O111" i="8"/>
  <c r="O113" i="8"/>
  <c r="O117" i="8"/>
  <c r="O118" i="8"/>
  <c r="O133" i="8"/>
  <c r="O107" i="8"/>
  <c r="O124" i="8"/>
  <c r="O129" i="8"/>
  <c r="O138" i="8"/>
  <c r="K66" i="8"/>
  <c r="K90" i="8"/>
  <c r="K98" i="8"/>
  <c r="K106" i="8"/>
  <c r="K112" i="8"/>
  <c r="K128" i="8"/>
  <c r="K161" i="8"/>
  <c r="K163" i="8"/>
  <c r="K117" i="8"/>
  <c r="K133" i="8"/>
  <c r="K139" i="8"/>
  <c r="K111" i="8"/>
  <c r="K113" i="8"/>
  <c r="K99" i="8"/>
  <c r="K101" i="8"/>
  <c r="K123" i="8"/>
  <c r="K129" i="8"/>
  <c r="K116" i="8"/>
  <c r="K118" i="8"/>
  <c r="K162" i="8"/>
  <c r="K107" i="8"/>
  <c r="K124" i="8"/>
  <c r="G37" i="8"/>
  <c r="O194" i="10"/>
  <c r="L43" i="5"/>
  <c r="D35" i="5"/>
  <c r="G53" i="2"/>
  <c r="C49" i="1"/>
  <c r="G69" i="2"/>
  <c r="C72" i="2"/>
  <c r="C34" i="24"/>
  <c r="AM32" i="15"/>
  <c r="AM32" i="16"/>
  <c r="AM32" i="14"/>
  <c r="AK32" i="13"/>
  <c r="AM64" i="7"/>
  <c r="L64" i="5"/>
  <c r="AH30" i="13"/>
  <c r="AH31" i="13"/>
  <c r="AJ30" i="16"/>
  <c r="AJ30" i="15"/>
  <c r="AJ31" i="15"/>
  <c r="L30" i="13"/>
  <c r="L31" i="13"/>
  <c r="L30" i="16"/>
  <c r="L30" i="15"/>
  <c r="L31" i="15"/>
  <c r="L30" i="14"/>
  <c r="L31" i="14"/>
  <c r="K140" i="8"/>
  <c r="W43" i="7"/>
  <c r="H43" i="4"/>
  <c r="E29" i="7"/>
  <c r="E29" i="2"/>
  <c r="AV22" i="16"/>
  <c r="AV22" i="14"/>
  <c r="AT22" i="13"/>
  <c r="AN22" i="16"/>
  <c r="AL22" i="13"/>
  <c r="AN22" i="15"/>
  <c r="AF22" i="16"/>
  <c r="AF22" i="15"/>
  <c r="AD22" i="13"/>
  <c r="X22" i="16"/>
  <c r="X22" i="14"/>
  <c r="X22" i="15"/>
  <c r="P22" i="13"/>
  <c r="P22" i="16"/>
  <c r="P22" i="14"/>
  <c r="P22" i="15"/>
  <c r="H22" i="13"/>
  <c r="H22" i="16"/>
  <c r="H22" i="14"/>
  <c r="H22" i="15"/>
  <c r="AT74" i="8"/>
  <c r="F74" i="8"/>
  <c r="D46" i="8"/>
  <c r="D99" i="8"/>
  <c r="D101" i="8"/>
  <c r="D107" i="8"/>
  <c r="D123" i="8"/>
  <c r="D125" i="8"/>
  <c r="D129" i="8"/>
  <c r="D162" i="8"/>
  <c r="D128" i="8"/>
  <c r="D66" i="8"/>
  <c r="D98" i="8"/>
  <c r="D106" i="8"/>
  <c r="D112" i="8"/>
  <c r="D161" i="8"/>
  <c r="D133" i="8"/>
  <c r="D116" i="8"/>
  <c r="D118" i="8"/>
  <c r="D139" i="8"/>
  <c r="D111" i="8"/>
  <c r="Y116" i="8"/>
  <c r="Y138" i="8"/>
  <c r="Y46" i="8"/>
  <c r="Y99" i="8"/>
  <c r="Y123" i="8"/>
  <c r="Y162" i="8"/>
  <c r="Y128" i="8"/>
  <c r="Y90" i="8"/>
  <c r="Y133" i="8"/>
  <c r="Y161" i="8"/>
  <c r="Y98" i="8"/>
  <c r="Y106" i="8"/>
  <c r="AE32" i="15"/>
  <c r="AE32" i="16"/>
  <c r="AE32" i="14"/>
  <c r="AE64" i="7"/>
  <c r="D64" i="5"/>
  <c r="X30" i="16"/>
  <c r="X30" i="14"/>
  <c r="X31" i="14"/>
  <c r="X30" i="15"/>
  <c r="X31" i="15"/>
  <c r="AJ28" i="15"/>
  <c r="AJ29" i="15"/>
  <c r="AH28" i="13"/>
  <c r="AH29" i="13"/>
  <c r="AJ28" i="16"/>
  <c r="AV53" i="7"/>
  <c r="AF53" i="7"/>
  <c r="P53" i="7"/>
  <c r="AM42" i="7"/>
  <c r="L42" i="5"/>
  <c r="Y111" i="8"/>
  <c r="K29" i="6"/>
  <c r="AX91" i="8"/>
  <c r="AX29" i="7"/>
  <c r="E11" i="11"/>
  <c r="E12" i="11"/>
  <c r="E11" i="14"/>
  <c r="E12" i="14"/>
  <c r="E11" i="15"/>
  <c r="E12" i="15"/>
  <c r="E11" i="16"/>
  <c r="E12" i="16"/>
  <c r="E11" i="13"/>
  <c r="E12" i="13"/>
  <c r="E9" i="7"/>
  <c r="E9" i="2"/>
  <c r="E76" i="8"/>
  <c r="Z64" i="8"/>
  <c r="BA116" i="8"/>
  <c r="BA118" i="8"/>
  <c r="BA138" i="8"/>
  <c r="BA99" i="8"/>
  <c r="BA101" i="8"/>
  <c r="BA102" i="8"/>
  <c r="BA123" i="8"/>
  <c r="BA162" i="8"/>
  <c r="BA90" i="8"/>
  <c r="BA117" i="8"/>
  <c r="BA161" i="8"/>
  <c r="BA139" i="8"/>
  <c r="BA98" i="8"/>
  <c r="BA106" i="8"/>
  <c r="BA111" i="8"/>
  <c r="BA66" i="8"/>
  <c r="AN30" i="16"/>
  <c r="AL30" i="13"/>
  <c r="AL31" i="13"/>
  <c r="AN30" i="15"/>
  <c r="AN31" i="15"/>
  <c r="H30" i="13"/>
  <c r="H31" i="13"/>
  <c r="H30" i="16"/>
  <c r="H30" i="14"/>
  <c r="H31" i="14"/>
  <c r="H30" i="15"/>
  <c r="H31" i="15"/>
  <c r="F61" i="3"/>
  <c r="AO61" i="7"/>
  <c r="M61" i="7"/>
  <c r="I61" i="7"/>
  <c r="AZ28" i="14"/>
  <c r="AZ29" i="14"/>
  <c r="AX28" i="13"/>
  <c r="AX29" i="13"/>
  <c r="AZ28" i="16"/>
  <c r="T28" i="15"/>
  <c r="T29" i="15"/>
  <c r="T28" i="14"/>
  <c r="T29" i="14"/>
  <c r="T28" i="16"/>
  <c r="D138" i="8"/>
  <c r="AB135" i="8"/>
  <c r="M42" i="4"/>
  <c r="AB42" i="7"/>
  <c r="E42" i="4"/>
  <c r="T42" i="7"/>
  <c r="H42" i="6"/>
  <c r="AU42" i="7"/>
  <c r="J99" i="8"/>
  <c r="J101" i="8"/>
  <c r="J102" i="8"/>
  <c r="BA34" i="7"/>
  <c r="N34" i="6"/>
  <c r="AW34" i="7"/>
  <c r="J34" i="6"/>
  <c r="AS34" i="7"/>
  <c r="F34" i="6"/>
  <c r="AO34" i="7"/>
  <c r="N34" i="5"/>
  <c r="AK34" i="7"/>
  <c r="J34" i="5"/>
  <c r="AG34" i="7"/>
  <c r="F34" i="5"/>
  <c r="AC34" i="7"/>
  <c r="N34" i="4"/>
  <c r="Y34" i="7"/>
  <c r="J34" i="4"/>
  <c r="U34" i="7"/>
  <c r="F34" i="4"/>
  <c r="Q34" i="7"/>
  <c r="N34" i="3"/>
  <c r="M34" i="7"/>
  <c r="J34" i="3"/>
  <c r="I34" i="7"/>
  <c r="F34" i="3"/>
  <c r="E34" i="7"/>
  <c r="E34" i="2"/>
  <c r="G34" i="2"/>
  <c r="C34" i="1"/>
  <c r="AX33" i="7"/>
  <c r="K33" i="6"/>
  <c r="G33" i="6"/>
  <c r="AT33" i="7"/>
  <c r="AP33" i="7"/>
  <c r="C33" i="6"/>
  <c r="K33" i="5"/>
  <c r="AL33" i="7"/>
  <c r="G33" i="5"/>
  <c r="AH33" i="7"/>
  <c r="C33" i="5"/>
  <c r="AD33" i="7"/>
  <c r="Z33" i="7"/>
  <c r="K33" i="4"/>
  <c r="V33" i="7"/>
  <c r="G33" i="4"/>
  <c r="R33" i="7"/>
  <c r="C33" i="4"/>
  <c r="K33" i="3"/>
  <c r="N33" i="7"/>
  <c r="G33" i="3"/>
  <c r="J33" i="7"/>
  <c r="C33" i="3"/>
  <c r="F33" i="7"/>
  <c r="AM24" i="15"/>
  <c r="AM25" i="15"/>
  <c r="AM24" i="16"/>
  <c r="AK24" i="13"/>
  <c r="AK25" i="13"/>
  <c r="N29" i="7"/>
  <c r="K29" i="3"/>
  <c r="N91" i="8"/>
  <c r="AF13" i="13"/>
  <c r="AH13" i="16"/>
  <c r="AH13" i="15"/>
  <c r="G17" i="5"/>
  <c r="AH17" i="7"/>
  <c r="Q74" i="8"/>
  <c r="AX64" i="8"/>
  <c r="AH64" i="8"/>
  <c r="AH69" i="8"/>
  <c r="R64" i="8"/>
  <c r="AL41" i="8"/>
  <c r="J39" i="8"/>
  <c r="AG116" i="8"/>
  <c r="AG138" i="8"/>
  <c r="AG99" i="8"/>
  <c r="AG107" i="8"/>
  <c r="AG123" i="8"/>
  <c r="AG90" i="8"/>
  <c r="AG112" i="8"/>
  <c r="AG161" i="8"/>
  <c r="AG98" i="8"/>
  <c r="AG106" i="8"/>
  <c r="AG108" i="8"/>
  <c r="AG111" i="8"/>
  <c r="AG66" i="8"/>
  <c r="D44" i="8"/>
  <c r="Y41" i="8"/>
  <c r="D30" i="8"/>
  <c r="D29" i="8"/>
  <c r="D31" i="8"/>
  <c r="AY29" i="8"/>
  <c r="AY22" i="8"/>
  <c r="AY31" i="8"/>
  <c r="AY41" i="8"/>
  <c r="AU29" i="8"/>
  <c r="AU22" i="8"/>
  <c r="AU31" i="8"/>
  <c r="AU41" i="8"/>
  <c r="AQ29" i="8"/>
  <c r="AQ22" i="8"/>
  <c r="AQ31" i="8"/>
  <c r="AM29" i="8"/>
  <c r="AM22" i="8"/>
  <c r="AM31" i="8"/>
  <c r="AM41" i="8"/>
  <c r="AI29" i="8"/>
  <c r="AI22" i="8"/>
  <c r="AI31" i="8"/>
  <c r="AI41" i="8"/>
  <c r="AE29" i="8"/>
  <c r="AE22" i="8"/>
  <c r="AE31" i="8"/>
  <c r="AE41" i="8"/>
  <c r="AA29" i="8"/>
  <c r="AA22" i="8"/>
  <c r="AA31" i="8"/>
  <c r="AA41" i="8"/>
  <c r="W29" i="8"/>
  <c r="W22" i="8"/>
  <c r="W31" i="8"/>
  <c r="W41" i="8"/>
  <c r="S29" i="8"/>
  <c r="S22" i="8"/>
  <c r="S31" i="8"/>
  <c r="S41" i="8"/>
  <c r="O29" i="8"/>
  <c r="O22" i="8"/>
  <c r="O31" i="8"/>
  <c r="O41" i="8"/>
  <c r="K29" i="8"/>
  <c r="K22" i="8"/>
  <c r="K31" i="8"/>
  <c r="K41" i="8"/>
  <c r="G29" i="8"/>
  <c r="G22" i="8"/>
  <c r="G31" i="8"/>
  <c r="G41" i="8"/>
  <c r="BA26" i="8"/>
  <c r="BA34" i="8"/>
  <c r="BA45" i="8"/>
  <c r="BA52" i="8"/>
  <c r="BA53" i="8"/>
  <c r="BA100" i="8"/>
  <c r="BA124" i="8"/>
  <c r="BA25" i="8"/>
  <c r="BA33" i="8"/>
  <c r="BA44" i="8"/>
  <c r="BA27" i="8"/>
  <c r="BA40" i="8"/>
  <c r="AW26" i="8"/>
  <c r="AW34" i="8"/>
  <c r="AW45" i="8"/>
  <c r="AW52" i="8"/>
  <c r="AW53" i="8"/>
  <c r="AW100" i="8"/>
  <c r="AW25" i="8"/>
  <c r="AW33" i="8"/>
  <c r="AW44" i="8"/>
  <c r="AS26" i="8"/>
  <c r="AS34" i="8"/>
  <c r="AS45" i="8"/>
  <c r="AS52" i="8"/>
  <c r="AS53" i="8"/>
  <c r="AS100" i="8"/>
  <c r="AS25" i="8"/>
  <c r="AS33" i="8"/>
  <c r="AS44" i="8"/>
  <c r="AS27" i="8"/>
  <c r="AS40" i="8"/>
  <c r="AO26" i="8"/>
  <c r="AO34" i="8"/>
  <c r="AO45" i="8"/>
  <c r="AO52" i="8"/>
  <c r="AO53" i="8"/>
  <c r="AO100" i="8"/>
  <c r="AO25" i="8"/>
  <c r="AK26" i="8"/>
  <c r="AK34" i="8"/>
  <c r="AK45" i="8"/>
  <c r="AK52" i="8"/>
  <c r="AK53" i="8"/>
  <c r="AK100" i="8"/>
  <c r="AK25" i="8"/>
  <c r="AK33" i="8"/>
  <c r="AK44" i="8"/>
  <c r="AK27" i="8"/>
  <c r="AK40" i="8"/>
  <c r="AG26" i="8"/>
  <c r="AG34" i="8"/>
  <c r="AG45" i="8"/>
  <c r="AG52" i="8"/>
  <c r="AG53" i="8"/>
  <c r="AG100" i="8"/>
  <c r="AG129" i="8"/>
  <c r="AG130" i="8"/>
  <c r="AG25" i="8"/>
  <c r="AG33" i="8"/>
  <c r="AG44" i="8"/>
  <c r="AC26" i="8"/>
  <c r="AC34" i="8"/>
  <c r="AC45" i="8"/>
  <c r="AC52" i="8"/>
  <c r="AC100" i="8"/>
  <c r="AC129" i="8"/>
  <c r="AC25" i="8"/>
  <c r="AC33" i="8"/>
  <c r="AC44" i="8"/>
  <c r="AC27" i="8"/>
  <c r="Y26" i="8"/>
  <c r="Y34" i="8"/>
  <c r="Y45" i="8"/>
  <c r="Y52" i="8"/>
  <c r="Y100" i="8"/>
  <c r="Y124" i="8"/>
  <c r="Y25" i="8"/>
  <c r="Y33" i="8"/>
  <c r="Y44" i="8"/>
  <c r="U26" i="8"/>
  <c r="U34" i="8"/>
  <c r="U45" i="8"/>
  <c r="U52" i="8"/>
  <c r="U100" i="8"/>
  <c r="U129" i="8"/>
  <c r="U25" i="8"/>
  <c r="U33" i="8"/>
  <c r="U44" i="8"/>
  <c r="U27" i="8"/>
  <c r="U40" i="8"/>
  <c r="Q26" i="8"/>
  <c r="Q34" i="8"/>
  <c r="Q45" i="8"/>
  <c r="Q52" i="8"/>
  <c r="Q100" i="8"/>
  <c r="Q25" i="8"/>
  <c r="Q33" i="8"/>
  <c r="Q44" i="8"/>
  <c r="M26" i="8"/>
  <c r="M34" i="8"/>
  <c r="M45" i="8"/>
  <c r="M52" i="8"/>
  <c r="M100" i="8"/>
  <c r="M25" i="8"/>
  <c r="M33" i="8"/>
  <c r="M44" i="8"/>
  <c r="M27" i="8"/>
  <c r="M40" i="8"/>
  <c r="I26" i="8"/>
  <c r="I34" i="8"/>
  <c r="I45" i="8"/>
  <c r="I52" i="8"/>
  <c r="I100" i="8"/>
  <c r="I117" i="8"/>
  <c r="I25" i="8"/>
  <c r="E52" i="8"/>
  <c r="E100" i="8"/>
  <c r="AO116" i="8"/>
  <c r="AO124" i="8"/>
  <c r="AO138" i="8"/>
  <c r="AO140" i="8"/>
  <c r="AO129" i="8"/>
  <c r="AO99" i="8"/>
  <c r="AO101" i="8"/>
  <c r="AO102" i="8"/>
  <c r="AO107" i="8"/>
  <c r="AO108" i="8"/>
  <c r="AO123" i="8"/>
  <c r="AO125" i="8"/>
  <c r="AO162" i="8"/>
  <c r="AO66" i="8"/>
  <c r="AO112" i="8"/>
  <c r="AO113" i="8"/>
  <c r="AO139" i="8"/>
  <c r="AO161" i="8"/>
  <c r="AO163" i="8"/>
  <c r="AO128" i="8"/>
  <c r="AO133" i="8"/>
  <c r="AO90" i="8"/>
  <c r="AO117" i="8"/>
  <c r="AK116" i="8"/>
  <c r="AK124" i="8"/>
  <c r="AK138" i="8"/>
  <c r="AK123" i="8"/>
  <c r="AK99" i="8"/>
  <c r="AK101" i="8"/>
  <c r="AK107" i="8"/>
  <c r="AK129" i="8"/>
  <c r="AK162" i="8"/>
  <c r="AK163" i="8"/>
  <c r="AK98" i="8"/>
  <c r="AK106" i="8"/>
  <c r="AK108" i="8"/>
  <c r="AK111" i="8"/>
  <c r="AK113" i="8"/>
  <c r="AK117" i="8"/>
  <c r="AK128" i="8"/>
  <c r="AK130" i="8"/>
  <c r="AK133" i="8"/>
  <c r="AK66" i="8"/>
  <c r="AK112" i="8"/>
  <c r="AK139" i="8"/>
  <c r="Z111" i="8"/>
  <c r="Z133" i="8"/>
  <c r="Z139" i="8"/>
  <c r="Z116" i="8"/>
  <c r="Z138" i="8"/>
  <c r="Z66" i="8"/>
  <c r="Z161" i="8"/>
  <c r="Z128" i="8"/>
  <c r="Z90" i="8"/>
  <c r="V111" i="8"/>
  <c r="V133" i="8"/>
  <c r="V138" i="8"/>
  <c r="V116" i="8"/>
  <c r="V66" i="8"/>
  <c r="V99" i="8"/>
  <c r="V123" i="8"/>
  <c r="V161" i="8"/>
  <c r="V128" i="8"/>
  <c r="V90" i="8"/>
  <c r="R111" i="8"/>
  <c r="R133" i="8"/>
  <c r="R116" i="8"/>
  <c r="R138" i="8"/>
  <c r="R66" i="8"/>
  <c r="R161" i="8"/>
  <c r="R99" i="8"/>
  <c r="R107" i="8"/>
  <c r="R108" i="8"/>
  <c r="R123" i="8"/>
  <c r="R128" i="8"/>
  <c r="R90" i="8"/>
  <c r="F111" i="8"/>
  <c r="F133" i="8"/>
  <c r="F116" i="8"/>
  <c r="F138" i="8"/>
  <c r="F99" i="8"/>
  <c r="F123" i="8"/>
  <c r="F128" i="8"/>
  <c r="F90" i="8"/>
  <c r="F161" i="8"/>
  <c r="F98" i="8"/>
  <c r="F106" i="8"/>
  <c r="D43" i="5"/>
  <c r="C56" i="1"/>
  <c r="G61" i="2"/>
  <c r="Z61" i="7"/>
  <c r="AK61" i="7"/>
  <c r="M23" i="15"/>
  <c r="Y23" i="14"/>
  <c r="AY30" i="13"/>
  <c r="AY31" i="13"/>
  <c r="BA30" i="14"/>
  <c r="BA31" i="14"/>
  <c r="BA30" i="16"/>
  <c r="AI30" i="13"/>
  <c r="AI31" i="13"/>
  <c r="AK30" i="16"/>
  <c r="AK30" i="15"/>
  <c r="AK31" i="15"/>
  <c r="M30" i="13"/>
  <c r="M31" i="13"/>
  <c r="M30" i="14"/>
  <c r="M31" i="14"/>
  <c r="M30" i="16"/>
  <c r="AN60" i="7"/>
  <c r="M60" i="5"/>
  <c r="AJ60" i="7"/>
  <c r="I60" i="5"/>
  <c r="AF60" i="7"/>
  <c r="E60" i="5"/>
  <c r="P60" i="5"/>
  <c r="F60" i="1"/>
  <c r="P60" i="7"/>
  <c r="M60" i="3"/>
  <c r="H60" i="7"/>
  <c r="E60" i="3"/>
  <c r="L59" i="7"/>
  <c r="I59" i="3"/>
  <c r="AR58" i="7"/>
  <c r="E58" i="6"/>
  <c r="AB58" i="7"/>
  <c r="M58" i="4"/>
  <c r="M57" i="6"/>
  <c r="AZ57" i="7"/>
  <c r="AZ61" i="7"/>
  <c r="E57" i="4"/>
  <c r="T57" i="7"/>
  <c r="T61" i="7"/>
  <c r="G51" i="7"/>
  <c r="D51" i="3"/>
  <c r="K50" i="7"/>
  <c r="H50" i="3"/>
  <c r="AY49" i="7"/>
  <c r="L49" i="6"/>
  <c r="W49" i="7"/>
  <c r="H49" i="4"/>
  <c r="H53" i="4"/>
  <c r="AN140" i="8"/>
  <c r="X140" i="8"/>
  <c r="H140" i="8"/>
  <c r="AZ118" i="8"/>
  <c r="AR118" i="8"/>
  <c r="AJ118" i="8"/>
  <c r="AB118" i="8"/>
  <c r="T118" i="8"/>
  <c r="L118" i="8"/>
  <c r="L113" i="8"/>
  <c r="AN36" i="7"/>
  <c r="M36" i="5"/>
  <c r="AJ36" i="7"/>
  <c r="I36" i="5"/>
  <c r="AF36" i="7"/>
  <c r="E36" i="5"/>
  <c r="P36" i="7"/>
  <c r="M36" i="3"/>
  <c r="L36" i="7"/>
  <c r="I36" i="3"/>
  <c r="H36" i="7"/>
  <c r="E36" i="3"/>
  <c r="AI112" i="8"/>
  <c r="AI113" i="8"/>
  <c r="AI134" i="8"/>
  <c r="AI135" i="8"/>
  <c r="AI139" i="8"/>
  <c r="AI140" i="8"/>
  <c r="AI117" i="8"/>
  <c r="AA112" i="8"/>
  <c r="AA113" i="8"/>
  <c r="AA134" i="8"/>
  <c r="AA135" i="8"/>
  <c r="AA117" i="8"/>
  <c r="AA139" i="8"/>
  <c r="AA140" i="8"/>
  <c r="S112" i="8"/>
  <c r="S113" i="8"/>
  <c r="S134" i="8"/>
  <c r="S135" i="8"/>
  <c r="S117" i="8"/>
  <c r="S139" i="8"/>
  <c r="C112" i="8"/>
  <c r="C113" i="8"/>
  <c r="C117" i="8"/>
  <c r="C139" i="8"/>
  <c r="S101" i="8"/>
  <c r="S102" i="8"/>
  <c r="C101" i="8"/>
  <c r="C102" i="8"/>
  <c r="AZ34" i="7"/>
  <c r="M34" i="6"/>
  <c r="AR34" i="7"/>
  <c r="E34" i="6"/>
  <c r="AB34" i="7"/>
  <c r="M34" i="4"/>
  <c r="T34" i="7"/>
  <c r="E34" i="4"/>
  <c r="BA33" i="7"/>
  <c r="N33" i="6"/>
  <c r="AW33" i="7"/>
  <c r="J33" i="6"/>
  <c r="AS33" i="7"/>
  <c r="F33" i="6"/>
  <c r="AC33" i="7"/>
  <c r="N33" i="4"/>
  <c r="Y33" i="7"/>
  <c r="J33" i="4"/>
  <c r="U33" i="7"/>
  <c r="F33" i="4"/>
  <c r="E33" i="7"/>
  <c r="E33" i="2"/>
  <c r="AR24" i="13"/>
  <c r="AR25" i="13"/>
  <c r="AT24" i="14"/>
  <c r="AT25" i="14"/>
  <c r="AT24" i="16"/>
  <c r="AD24" i="15"/>
  <c r="AD25" i="15"/>
  <c r="AD24" i="16"/>
  <c r="J29" i="6"/>
  <c r="AW91" i="8"/>
  <c r="M29" i="7"/>
  <c r="M91" i="8"/>
  <c r="AY22" i="16"/>
  <c r="AY22" i="14"/>
  <c r="AW22" i="13"/>
  <c r="AU22" i="16"/>
  <c r="AS22" i="13"/>
  <c r="AU22" i="14"/>
  <c r="AQ22" i="16"/>
  <c r="AQ22" i="14"/>
  <c r="AM22" i="16"/>
  <c r="AK22" i="13"/>
  <c r="AM22" i="15"/>
  <c r="AI22" i="16"/>
  <c r="AI22" i="15"/>
  <c r="AG22" i="13"/>
  <c r="AE22" i="16"/>
  <c r="AE22" i="15"/>
  <c r="AA22" i="16"/>
  <c r="AA22" i="14"/>
  <c r="AA22" i="15"/>
  <c r="W22" i="16"/>
  <c r="W22" i="14"/>
  <c r="W22" i="15"/>
  <c r="S22" i="16"/>
  <c r="S22" i="14"/>
  <c r="S22" i="15"/>
  <c r="O22" i="13"/>
  <c r="O22" i="16"/>
  <c r="O22" i="14"/>
  <c r="O22" i="15"/>
  <c r="K22" i="13"/>
  <c r="K22" i="16"/>
  <c r="K22" i="14"/>
  <c r="K22" i="15"/>
  <c r="G22" i="13"/>
  <c r="G22" i="16"/>
  <c r="G22" i="14"/>
  <c r="G22" i="15"/>
  <c r="C22" i="13"/>
  <c r="C22" i="16"/>
  <c r="C21" i="11"/>
  <c r="C22" i="14"/>
  <c r="C22" i="15"/>
  <c r="C23" i="15"/>
  <c r="AU13" i="13"/>
  <c r="AW13" i="14"/>
  <c r="AW17" i="7"/>
  <c r="J17" i="6"/>
  <c r="AD13" i="16"/>
  <c r="AD13" i="15"/>
  <c r="C17" i="5"/>
  <c r="J13" i="12"/>
  <c r="M13" i="14"/>
  <c r="M13" i="15"/>
  <c r="M13" i="16"/>
  <c r="M14" i="16"/>
  <c r="J14" i="12"/>
  <c r="M17" i="7"/>
  <c r="M13" i="13"/>
  <c r="AQ53" i="8"/>
  <c r="AA53" i="8"/>
  <c r="K53" i="8"/>
  <c r="AX111" i="8"/>
  <c r="AX133" i="8"/>
  <c r="AX138" i="8"/>
  <c r="AX116" i="8"/>
  <c r="AP111" i="8"/>
  <c r="AP133" i="8"/>
  <c r="AP138" i="8"/>
  <c r="AP116" i="8"/>
  <c r="N111" i="8"/>
  <c r="N133" i="8"/>
  <c r="N138" i="8"/>
  <c r="N116" i="8"/>
  <c r="I116" i="8"/>
  <c r="I118" i="8"/>
  <c r="I124" i="8"/>
  <c r="I138" i="8"/>
  <c r="I123" i="8"/>
  <c r="I125" i="8"/>
  <c r="I99" i="8"/>
  <c r="I101" i="8"/>
  <c r="I107" i="8"/>
  <c r="I129" i="8"/>
  <c r="I162" i="8"/>
  <c r="I163" i="8"/>
  <c r="C69" i="8"/>
  <c r="C134" i="8"/>
  <c r="C135" i="8"/>
  <c r="AY34" i="8"/>
  <c r="AY45" i="8"/>
  <c r="AQ34" i="8"/>
  <c r="AI34" i="8"/>
  <c r="AI45" i="8"/>
  <c r="AA34" i="8"/>
  <c r="AA45" i="8"/>
  <c r="S34" i="8"/>
  <c r="S45" i="8"/>
  <c r="K34" i="8"/>
  <c r="K45" i="8"/>
  <c r="AL33" i="8"/>
  <c r="AL44" i="8"/>
  <c r="V33" i="8"/>
  <c r="V44" i="8"/>
  <c r="F33" i="8"/>
  <c r="F44" i="8"/>
  <c r="E25" i="8"/>
  <c r="F22" i="8"/>
  <c r="F31" i="8"/>
  <c r="E20" i="8"/>
  <c r="E22" i="8"/>
  <c r="BA39" i="8"/>
  <c r="AS39" i="8"/>
  <c r="AK39" i="8"/>
  <c r="AC39" i="8"/>
  <c r="U39" i="8"/>
  <c r="M39" i="8"/>
  <c r="D35" i="8"/>
  <c r="D39" i="8"/>
  <c r="O379" i="10"/>
  <c r="O378" i="10"/>
  <c r="AZ99" i="8"/>
  <c r="AZ101" i="8"/>
  <c r="AZ102" i="8"/>
  <c r="AZ107" i="8"/>
  <c r="AZ123" i="8"/>
  <c r="AZ125" i="8"/>
  <c r="AZ129" i="8"/>
  <c r="AZ162" i="8"/>
  <c r="AZ112" i="8"/>
  <c r="AZ128" i="8"/>
  <c r="AZ130" i="8"/>
  <c r="AZ66" i="8"/>
  <c r="AZ90" i="8"/>
  <c r="AZ98" i="8"/>
  <c r="AZ106" i="8"/>
  <c r="AZ108" i="8"/>
  <c r="AZ161" i="8"/>
  <c r="AV99" i="8"/>
  <c r="AV101" i="8"/>
  <c r="AV107" i="8"/>
  <c r="AV123" i="8"/>
  <c r="AV129" i="8"/>
  <c r="AV162" i="8"/>
  <c r="AV112" i="8"/>
  <c r="AV113" i="8"/>
  <c r="AV66" i="8"/>
  <c r="AV90" i="8"/>
  <c r="AV98" i="8"/>
  <c r="AV106" i="8"/>
  <c r="AV108" i="8"/>
  <c r="AV128" i="8"/>
  <c r="AV161" i="8"/>
  <c r="AV163" i="8"/>
  <c r="AR99" i="8"/>
  <c r="AR101" i="8"/>
  <c r="AR102" i="8"/>
  <c r="AR107" i="8"/>
  <c r="AR123" i="8"/>
  <c r="AR125" i="8"/>
  <c r="AR129" i="8"/>
  <c r="AR162" i="8"/>
  <c r="AR112" i="8"/>
  <c r="AR128" i="8"/>
  <c r="AR130" i="8"/>
  <c r="AR66" i="8"/>
  <c r="AR90" i="8"/>
  <c r="AR98" i="8"/>
  <c r="AR106" i="8"/>
  <c r="AR108" i="8"/>
  <c r="AR161" i="8"/>
  <c r="AN99" i="8"/>
  <c r="AN101" i="8"/>
  <c r="AN107" i="8"/>
  <c r="AN123" i="8"/>
  <c r="AN129" i="8"/>
  <c r="AN162" i="8"/>
  <c r="AN112" i="8"/>
  <c r="AN113" i="8"/>
  <c r="AN66" i="8"/>
  <c r="AN90" i="8"/>
  <c r="AN98" i="8"/>
  <c r="AN106" i="8"/>
  <c r="AN108" i="8"/>
  <c r="AN128" i="8"/>
  <c r="AN161" i="8"/>
  <c r="AN163" i="8"/>
  <c r="AJ99" i="8"/>
  <c r="AJ101" i="8"/>
  <c r="AJ102" i="8"/>
  <c r="AJ107" i="8"/>
  <c r="AJ123" i="8"/>
  <c r="AJ125" i="8"/>
  <c r="AJ129" i="8"/>
  <c r="AJ162" i="8"/>
  <c r="AJ112" i="8"/>
  <c r="AJ113" i="8"/>
  <c r="AJ128" i="8"/>
  <c r="AJ130" i="8"/>
  <c r="AJ66" i="8"/>
  <c r="AJ90" i="8"/>
  <c r="AJ98" i="8"/>
  <c r="AJ106" i="8"/>
  <c r="AJ108" i="8"/>
  <c r="AJ161" i="8"/>
  <c r="AF99" i="8"/>
  <c r="AF101" i="8"/>
  <c r="AF107" i="8"/>
  <c r="AF123" i="8"/>
  <c r="AF129" i="8"/>
  <c r="AF162" i="8"/>
  <c r="AF112" i="8"/>
  <c r="AF66" i="8"/>
  <c r="AF90" i="8"/>
  <c r="AF98" i="8"/>
  <c r="AF106" i="8"/>
  <c r="AF108" i="8"/>
  <c r="AF128" i="8"/>
  <c r="AF161" i="8"/>
  <c r="AF163" i="8"/>
  <c r="I11" i="1"/>
  <c r="E61" i="9"/>
  <c r="I59" i="6"/>
  <c r="L50" i="6"/>
  <c r="G41" i="6"/>
  <c r="I57" i="5"/>
  <c r="E60" i="4"/>
  <c r="H51" i="4"/>
  <c r="E71" i="3"/>
  <c r="M58" i="3"/>
  <c r="E58" i="3"/>
  <c r="I34" i="3"/>
  <c r="F33" i="3"/>
  <c r="P59" i="7"/>
  <c r="AB57" i="7"/>
  <c r="AI52" i="7"/>
  <c r="M53" i="7"/>
  <c r="AT40" i="7"/>
  <c r="N40" i="7"/>
  <c r="P35" i="7"/>
  <c r="AS29" i="16"/>
  <c r="AS29" i="15"/>
  <c r="AS28" i="15"/>
  <c r="D32" i="11"/>
  <c r="D33" i="13"/>
  <c r="D33" i="14"/>
  <c r="D33" i="16"/>
  <c r="D33" i="15"/>
  <c r="L71" i="6"/>
  <c r="AY71" i="7"/>
  <c r="H71" i="6"/>
  <c r="AU71" i="7"/>
  <c r="D71" i="6"/>
  <c r="AQ71" i="7"/>
  <c r="L71" i="4"/>
  <c r="AA71" i="7"/>
  <c r="H71" i="4"/>
  <c r="W71" i="7"/>
  <c r="D71" i="4"/>
  <c r="P71" i="4"/>
  <c r="E71" i="1"/>
  <c r="S71" i="7"/>
  <c r="AY162" i="8"/>
  <c r="AI162" i="8"/>
  <c r="AI163" i="8"/>
  <c r="AA162" i="8"/>
  <c r="AA163" i="8"/>
  <c r="S162" i="8"/>
  <c r="S163" i="8"/>
  <c r="C162" i="8"/>
  <c r="C163" i="8"/>
  <c r="AZ157" i="8"/>
  <c r="AR157" i="8"/>
  <c r="AB157" i="8"/>
  <c r="T157" i="8"/>
  <c r="D29" i="11"/>
  <c r="D30" i="13"/>
  <c r="D31" i="13"/>
  <c r="D30" i="16"/>
  <c r="D31" i="16"/>
  <c r="D30" i="15"/>
  <c r="D31" i="15"/>
  <c r="D30" i="14"/>
  <c r="D31" i="14"/>
  <c r="G60" i="7"/>
  <c r="D60" i="3"/>
  <c r="AY59" i="7"/>
  <c r="L59" i="6"/>
  <c r="AU59" i="7"/>
  <c r="H59" i="6"/>
  <c r="AQ59" i="7"/>
  <c r="D59" i="6"/>
  <c r="P59" i="6"/>
  <c r="G59" i="1"/>
  <c r="AA59" i="7"/>
  <c r="L59" i="4"/>
  <c r="W59" i="7"/>
  <c r="H59" i="4"/>
  <c r="S59" i="7"/>
  <c r="D59" i="4"/>
  <c r="AQ58" i="7"/>
  <c r="AQ61" i="7"/>
  <c r="D58" i="6"/>
  <c r="AA58" i="7"/>
  <c r="L58" i="4"/>
  <c r="L61" i="4"/>
  <c r="H58" i="4"/>
  <c r="W58" i="7"/>
  <c r="AI57" i="7"/>
  <c r="H57" i="5"/>
  <c r="AE57" i="7"/>
  <c r="D57" i="5"/>
  <c r="O57" i="7"/>
  <c r="O61" i="7"/>
  <c r="L57" i="3"/>
  <c r="AY56" i="7"/>
  <c r="AY61" i="7"/>
  <c r="AY157" i="8"/>
  <c r="AU157" i="8"/>
  <c r="AQ157" i="8"/>
  <c r="AM56" i="7"/>
  <c r="AM61" i="7"/>
  <c r="L56" i="5"/>
  <c r="L61" i="5"/>
  <c r="AM157" i="8"/>
  <c r="H56" i="5"/>
  <c r="AI56" i="7"/>
  <c r="AI157" i="8"/>
  <c r="D56" i="5"/>
  <c r="AE157" i="8"/>
  <c r="AA157" i="8"/>
  <c r="W56" i="7"/>
  <c r="W61" i="7"/>
  <c r="W157" i="8"/>
  <c r="S56" i="7"/>
  <c r="S61" i="7"/>
  <c r="S157" i="8"/>
  <c r="L56" i="3"/>
  <c r="L61" i="3"/>
  <c r="O157" i="8"/>
  <c r="H56" i="3"/>
  <c r="H61" i="3"/>
  <c r="K157" i="8"/>
  <c r="G56" i="7"/>
  <c r="G61" i="7"/>
  <c r="D56" i="3"/>
  <c r="G157" i="8"/>
  <c r="AT28" i="13"/>
  <c r="AT29" i="13"/>
  <c r="AV28" i="14"/>
  <c r="AV29" i="14"/>
  <c r="AV28" i="16"/>
  <c r="AL28" i="13"/>
  <c r="AL29" i="13"/>
  <c r="AN28" i="15"/>
  <c r="AN29" i="15"/>
  <c r="AN28" i="16"/>
  <c r="AD28" i="13"/>
  <c r="AD29" i="13"/>
  <c r="AF28" i="16"/>
  <c r="AF28" i="15"/>
  <c r="AF29" i="15"/>
  <c r="X28" i="14"/>
  <c r="X29" i="14"/>
  <c r="X28" i="15"/>
  <c r="X29" i="15"/>
  <c r="X28" i="16"/>
  <c r="P28" i="13"/>
  <c r="P29" i="13"/>
  <c r="P28" i="14"/>
  <c r="P29" i="14"/>
  <c r="P28" i="16"/>
  <c r="P28" i="15"/>
  <c r="P29" i="15"/>
  <c r="H28" i="13"/>
  <c r="H29" i="13"/>
  <c r="H28" i="14"/>
  <c r="H29" i="14"/>
  <c r="H28" i="15"/>
  <c r="H29" i="15"/>
  <c r="H28" i="16"/>
  <c r="C27" i="11"/>
  <c r="C28" i="13"/>
  <c r="C29" i="13"/>
  <c r="C28" i="14"/>
  <c r="C29" i="14"/>
  <c r="C28" i="15"/>
  <c r="C29" i="15"/>
  <c r="C28" i="16"/>
  <c r="C29" i="16"/>
  <c r="AL52" i="7"/>
  <c r="K52" i="5"/>
  <c r="AH52" i="7"/>
  <c r="G52" i="5"/>
  <c r="AD52" i="7"/>
  <c r="C52" i="5"/>
  <c r="N52" i="7"/>
  <c r="K52" i="3"/>
  <c r="J52" i="7"/>
  <c r="G52" i="3"/>
  <c r="F52" i="7"/>
  <c r="C52" i="3"/>
  <c r="AH51" i="7"/>
  <c r="AH53" i="7"/>
  <c r="G51" i="5"/>
  <c r="C51" i="5"/>
  <c r="AD51" i="7"/>
  <c r="K51" i="3"/>
  <c r="P51" i="3"/>
  <c r="D51" i="1"/>
  <c r="N51" i="7"/>
  <c r="AX50" i="7"/>
  <c r="K50" i="6"/>
  <c r="V50" i="7"/>
  <c r="G50" i="4"/>
  <c r="R50" i="7"/>
  <c r="C50" i="4"/>
  <c r="K49" i="6"/>
  <c r="AX149" i="8"/>
  <c r="G49" i="6"/>
  <c r="AT149" i="8"/>
  <c r="AP49" i="7"/>
  <c r="AP53" i="7"/>
  <c r="C49" i="6"/>
  <c r="AP149" i="8"/>
  <c r="AL149" i="8"/>
  <c r="AL49" i="7"/>
  <c r="AH149" i="8"/>
  <c r="AD149" i="8"/>
  <c r="Z49" i="7"/>
  <c r="K49" i="4"/>
  <c r="K53" i="4"/>
  <c r="Z149" i="8"/>
  <c r="G49" i="4"/>
  <c r="V149" i="8"/>
  <c r="V49" i="7"/>
  <c r="V53" i="7"/>
  <c r="C49" i="4"/>
  <c r="R149" i="8"/>
  <c r="N149" i="8"/>
  <c r="J49" i="7"/>
  <c r="J149" i="8"/>
  <c r="F149" i="8"/>
  <c r="F49" i="7"/>
  <c r="AZ139" i="8"/>
  <c r="AR139" i="8"/>
  <c r="AJ139" i="8"/>
  <c r="AJ133" i="8"/>
  <c r="T135" i="8"/>
  <c r="AV124" i="8"/>
  <c r="AN124" i="8"/>
  <c r="AF124" i="8"/>
  <c r="AY125" i="8"/>
  <c r="AI125" i="8"/>
  <c r="BA41" i="7"/>
  <c r="N41" i="6"/>
  <c r="AW41" i="7"/>
  <c r="J41" i="6"/>
  <c r="AS41" i="7"/>
  <c r="F41" i="6"/>
  <c r="AC41" i="7"/>
  <c r="N41" i="4"/>
  <c r="Y41" i="7"/>
  <c r="J41" i="4"/>
  <c r="U41" i="7"/>
  <c r="F41" i="4"/>
  <c r="N40" i="6"/>
  <c r="BA40" i="7"/>
  <c r="F40" i="6"/>
  <c r="AS40" i="7"/>
  <c r="N40" i="4"/>
  <c r="AC40" i="7"/>
  <c r="F40" i="4"/>
  <c r="U40" i="7"/>
  <c r="AV117" i="8"/>
  <c r="AN117" i="8"/>
  <c r="AF117" i="8"/>
  <c r="AI118" i="8"/>
  <c r="AA118" i="8"/>
  <c r="S118" i="8"/>
  <c r="AP112" i="8"/>
  <c r="AB113" i="8"/>
  <c r="I111" i="8"/>
  <c r="AM37" i="7"/>
  <c r="L37" i="5"/>
  <c r="AE37" i="7"/>
  <c r="D37" i="5"/>
  <c r="AX107" i="8"/>
  <c r="X107" i="8"/>
  <c r="X108" i="8"/>
  <c r="X129" i="8"/>
  <c r="X130" i="8"/>
  <c r="X162" i="8"/>
  <c r="X163" i="8"/>
  <c r="X112" i="8"/>
  <c r="X113" i="8"/>
  <c r="X134" i="8"/>
  <c r="P107" i="8"/>
  <c r="P108" i="8"/>
  <c r="P129" i="8"/>
  <c r="P130" i="8"/>
  <c r="P162" i="8"/>
  <c r="P163" i="8"/>
  <c r="P112" i="8"/>
  <c r="P134" i="8"/>
  <c r="P135" i="8"/>
  <c r="H107" i="8"/>
  <c r="H108" i="8"/>
  <c r="H129" i="8"/>
  <c r="H130" i="8"/>
  <c r="H162" i="8"/>
  <c r="H163" i="8"/>
  <c r="H134" i="8"/>
  <c r="H135" i="8"/>
  <c r="H112" i="8"/>
  <c r="AY101" i="8"/>
  <c r="AY102" i="8"/>
  <c r="AI101" i="8"/>
  <c r="AI102" i="8"/>
  <c r="W101" i="8"/>
  <c r="W102" i="8"/>
  <c r="AG24" i="13"/>
  <c r="AG25" i="13"/>
  <c r="AI24" i="15"/>
  <c r="AI25" i="15"/>
  <c r="AI24" i="16"/>
  <c r="AA24" i="14"/>
  <c r="AA25" i="14"/>
  <c r="AA24" i="15"/>
  <c r="AA25" i="15"/>
  <c r="AA24" i="16"/>
  <c r="S24" i="14"/>
  <c r="S25" i="14"/>
  <c r="S24" i="15"/>
  <c r="S25" i="15"/>
  <c r="S24" i="16"/>
  <c r="AT29" i="7"/>
  <c r="G29" i="6"/>
  <c r="Q24" i="16"/>
  <c r="Q24" i="13"/>
  <c r="Q25" i="13"/>
  <c r="Q24" i="15"/>
  <c r="Q25" i="15"/>
  <c r="C90" i="8"/>
  <c r="AQ64" i="8"/>
  <c r="AA64" i="8"/>
  <c r="AA69" i="8"/>
  <c r="K64" i="8"/>
  <c r="K69" i="8"/>
  <c r="AX66" i="8"/>
  <c r="AP66" i="8"/>
  <c r="N66" i="8"/>
  <c r="I66" i="8"/>
  <c r="AT64" i="8"/>
  <c r="AT69" i="8"/>
  <c r="AL64" i="8"/>
  <c r="AL69" i="8"/>
  <c r="AD64" i="8"/>
  <c r="AD69" i="8"/>
  <c r="V64" i="8"/>
  <c r="V69" i="8"/>
  <c r="N64" i="8"/>
  <c r="F64" i="8"/>
  <c r="F69" i="8"/>
  <c r="AU53" i="8"/>
  <c r="AE53" i="8"/>
  <c r="O53" i="8"/>
  <c r="E9" i="11"/>
  <c r="E9" i="13"/>
  <c r="E9" i="14"/>
  <c r="E9" i="15"/>
  <c r="E18" i="7"/>
  <c r="E9" i="16"/>
  <c r="AW116" i="8"/>
  <c r="AW138" i="8"/>
  <c r="AW123" i="8"/>
  <c r="AW99" i="8"/>
  <c r="AW107" i="8"/>
  <c r="AW108" i="8"/>
  <c r="AD111" i="8"/>
  <c r="AD133" i="8"/>
  <c r="AD138" i="8"/>
  <c r="AD116" i="8"/>
  <c r="AD124" i="8"/>
  <c r="AD125" i="8"/>
  <c r="M116" i="8"/>
  <c r="M138" i="8"/>
  <c r="M129" i="8"/>
  <c r="M130" i="8"/>
  <c r="M99" i="8"/>
  <c r="M123" i="8"/>
  <c r="AT29" i="8"/>
  <c r="AT33" i="8"/>
  <c r="AT44" i="8"/>
  <c r="AO29" i="8"/>
  <c r="AD29" i="8"/>
  <c r="AD33" i="8"/>
  <c r="AD44" i="8"/>
  <c r="Y29" i="8"/>
  <c r="N29" i="8"/>
  <c r="N33" i="8"/>
  <c r="N44" i="8"/>
  <c r="I29" i="8"/>
  <c r="AY25" i="8"/>
  <c r="AQ25" i="8"/>
  <c r="AI25" i="8"/>
  <c r="AA25" i="8"/>
  <c r="S25" i="8"/>
  <c r="K25" i="8"/>
  <c r="BA31" i="8"/>
  <c r="AS31" i="8"/>
  <c r="AK31" i="8"/>
  <c r="AC31" i="8"/>
  <c r="AC41" i="8"/>
  <c r="U31" i="8"/>
  <c r="M31" i="8"/>
  <c r="F16" i="8"/>
  <c r="E14" i="8"/>
  <c r="E16" i="8"/>
  <c r="AP35" i="8"/>
  <c r="AP46" i="8"/>
  <c r="J35" i="8"/>
  <c r="J46" i="8"/>
  <c r="AZ12" i="8"/>
  <c r="AV12" i="8"/>
  <c r="AR12" i="8"/>
  <c r="AN12" i="8"/>
  <c r="AJ12" i="8"/>
  <c r="AF12" i="8"/>
  <c r="AB12" i="8"/>
  <c r="X12" i="8"/>
  <c r="T12" i="8"/>
  <c r="P12" i="8"/>
  <c r="L12" i="8"/>
  <c r="H12" i="8"/>
  <c r="AY66" i="8"/>
  <c r="AY90" i="8"/>
  <c r="AY98" i="8"/>
  <c r="AY106" i="8"/>
  <c r="AY108" i="8"/>
  <c r="AY112" i="8"/>
  <c r="AY128" i="8"/>
  <c r="AY130" i="8"/>
  <c r="AY161" i="8"/>
  <c r="AY163" i="8"/>
  <c r="AY133" i="8"/>
  <c r="AY139" i="8"/>
  <c r="AY140" i="8"/>
  <c r="AY111" i="8"/>
  <c r="AY113" i="8"/>
  <c r="AY117" i="8"/>
  <c r="AY118" i="8"/>
  <c r="AU66" i="8"/>
  <c r="AU90" i="8"/>
  <c r="AU98" i="8"/>
  <c r="AU102" i="8"/>
  <c r="AU106" i="8"/>
  <c r="AU108" i="8"/>
  <c r="AU112" i="8"/>
  <c r="AU128" i="8"/>
  <c r="AU130" i="8"/>
  <c r="AU161" i="8"/>
  <c r="AU163" i="8"/>
  <c r="AU117" i="8"/>
  <c r="AU118" i="8"/>
  <c r="AU139" i="8"/>
  <c r="AU140" i="8"/>
  <c r="AU111" i="8"/>
  <c r="AU133" i="8"/>
  <c r="AQ37" i="8"/>
  <c r="O197" i="10"/>
  <c r="O196" i="10"/>
  <c r="L70" i="6"/>
  <c r="D70" i="6"/>
  <c r="I60" i="6"/>
  <c r="P60" i="6"/>
  <c r="G60" i="1"/>
  <c r="H57" i="6"/>
  <c r="M56" i="6"/>
  <c r="M61" i="6"/>
  <c r="E56" i="6"/>
  <c r="G52" i="6"/>
  <c r="L51" i="6"/>
  <c r="D51" i="6"/>
  <c r="M36" i="6"/>
  <c r="E36" i="6"/>
  <c r="L59" i="5"/>
  <c r="D59" i="5"/>
  <c r="P59" i="5"/>
  <c r="F59" i="1"/>
  <c r="I58" i="5"/>
  <c r="G50" i="5"/>
  <c r="G53" i="5"/>
  <c r="L49" i="5"/>
  <c r="D49" i="5"/>
  <c r="J41" i="5"/>
  <c r="G40" i="5"/>
  <c r="E34" i="5"/>
  <c r="J33" i="5"/>
  <c r="L60" i="4"/>
  <c r="D60" i="4"/>
  <c r="I59" i="4"/>
  <c r="H56" i="4"/>
  <c r="G51" i="4"/>
  <c r="L50" i="4"/>
  <c r="D50" i="4"/>
  <c r="G41" i="4"/>
  <c r="L71" i="3"/>
  <c r="D71" i="3"/>
  <c r="I70" i="3"/>
  <c r="L58" i="3"/>
  <c r="D58" i="3"/>
  <c r="I57" i="3"/>
  <c r="P57" i="3"/>
  <c r="D57" i="1"/>
  <c r="C53" i="3"/>
  <c r="H52" i="3"/>
  <c r="G49" i="3"/>
  <c r="G53" i="3"/>
  <c r="J40" i="3"/>
  <c r="J29" i="3"/>
  <c r="AV71" i="7"/>
  <c r="X71" i="7"/>
  <c r="P71" i="7"/>
  <c r="AZ70" i="7"/>
  <c r="AR70" i="7"/>
  <c r="AJ70" i="7"/>
  <c r="AB70" i="7"/>
  <c r="T70" i="7"/>
  <c r="AJ59" i="7"/>
  <c r="AU58" i="7"/>
  <c r="AU61" i="7"/>
  <c r="AV57" i="7"/>
  <c r="AV61" i="7"/>
  <c r="AP61" i="7"/>
  <c r="AE56" i="7"/>
  <c r="AE61" i="7"/>
  <c r="U61" i="7"/>
  <c r="W52" i="7"/>
  <c r="O51" i="7"/>
  <c r="AD49" i="7"/>
  <c r="AD53" i="7"/>
  <c r="AO40" i="7"/>
  <c r="Y40" i="7"/>
  <c r="AV34" i="7"/>
  <c r="P34" i="7"/>
  <c r="AW29" i="7"/>
  <c r="Q29" i="7"/>
  <c r="AD17" i="7"/>
  <c r="BC36" i="15"/>
  <c r="BA36" i="13"/>
  <c r="AW13" i="16"/>
  <c r="M30" i="15"/>
  <c r="M31" i="15"/>
  <c r="Q24" i="14"/>
  <c r="Q25" i="14"/>
  <c r="I23" i="13"/>
  <c r="E61" i="7"/>
  <c r="K28" i="24"/>
  <c r="J29" i="24"/>
  <c r="E33" i="13"/>
  <c r="E32" i="11"/>
  <c r="E33" i="15"/>
  <c r="E33" i="16"/>
  <c r="E33" i="14"/>
  <c r="AQ30" i="13"/>
  <c r="AQ31" i="13"/>
  <c r="AS30" i="14"/>
  <c r="AS31" i="14"/>
  <c r="AS30" i="16"/>
  <c r="AC30" i="14"/>
  <c r="AC31" i="14"/>
  <c r="AC30" i="16"/>
  <c r="U30" i="14"/>
  <c r="U31" i="14"/>
  <c r="U30" i="16"/>
  <c r="U30" i="15"/>
  <c r="U31" i="15"/>
  <c r="E29" i="11"/>
  <c r="E30" i="11"/>
  <c r="E30" i="13"/>
  <c r="E31" i="13"/>
  <c r="E30" i="14"/>
  <c r="E31" i="14"/>
  <c r="E30" i="16"/>
  <c r="E31" i="16"/>
  <c r="E30" i="15"/>
  <c r="E31" i="15"/>
  <c r="L60" i="7"/>
  <c r="I60" i="3"/>
  <c r="M59" i="5"/>
  <c r="AN59" i="7"/>
  <c r="E59" i="3"/>
  <c r="H59" i="7"/>
  <c r="AV58" i="7"/>
  <c r="I58" i="6"/>
  <c r="I61" i="6"/>
  <c r="X57" i="7"/>
  <c r="I57" i="4"/>
  <c r="AN56" i="7"/>
  <c r="M56" i="5"/>
  <c r="M61" i="5"/>
  <c r="AJ56" i="7"/>
  <c r="I56" i="5"/>
  <c r="I61" i="5"/>
  <c r="AF56" i="7"/>
  <c r="E56" i="5"/>
  <c r="E61" i="5"/>
  <c r="P56" i="7"/>
  <c r="P61" i="7"/>
  <c r="M56" i="3"/>
  <c r="M61" i="3"/>
  <c r="L56" i="7"/>
  <c r="L61" i="7"/>
  <c r="I56" i="3"/>
  <c r="I61" i="3"/>
  <c r="H56" i="7"/>
  <c r="E56" i="3"/>
  <c r="E61" i="3"/>
  <c r="AW28" i="13"/>
  <c r="AW29" i="13"/>
  <c r="AY28" i="14"/>
  <c r="AY29" i="14"/>
  <c r="AY28" i="16"/>
  <c r="AO28" i="13"/>
  <c r="AO29" i="13"/>
  <c r="AQ28" i="14"/>
  <c r="AQ29" i="14"/>
  <c r="AQ28" i="16"/>
  <c r="AG28" i="13"/>
  <c r="AG29" i="13"/>
  <c r="AI28" i="15"/>
  <c r="AI29" i="15"/>
  <c r="AI28" i="16"/>
  <c r="AA28" i="14"/>
  <c r="AA29" i="14"/>
  <c r="AA28" i="15"/>
  <c r="AA29" i="15"/>
  <c r="AA28" i="16"/>
  <c r="S28" i="14"/>
  <c r="S29" i="14"/>
  <c r="S28" i="15"/>
  <c r="S29" i="15"/>
  <c r="S28" i="16"/>
  <c r="K28" i="13"/>
  <c r="K29" i="13"/>
  <c r="K28" i="14"/>
  <c r="K29" i="14"/>
  <c r="K28" i="15"/>
  <c r="K29" i="15"/>
  <c r="K28" i="16"/>
  <c r="D27" i="11"/>
  <c r="D28" i="11"/>
  <c r="D28" i="13"/>
  <c r="D29" i="13"/>
  <c r="D28" i="15"/>
  <c r="D29" i="15"/>
  <c r="D28" i="14"/>
  <c r="D29" i="14"/>
  <c r="D28" i="16"/>
  <c r="D29" i="16"/>
  <c r="AU52" i="7"/>
  <c r="H52" i="6"/>
  <c r="D52" i="6"/>
  <c r="P52" i="6"/>
  <c r="G52" i="1"/>
  <c r="AQ52" i="7"/>
  <c r="L52" i="4"/>
  <c r="AA52" i="7"/>
  <c r="AM51" i="7"/>
  <c r="L51" i="5"/>
  <c r="AI51" i="7"/>
  <c r="H51" i="5"/>
  <c r="H53" i="5"/>
  <c r="L50" i="5"/>
  <c r="AM50" i="7"/>
  <c r="AM53" i="7"/>
  <c r="D50" i="3"/>
  <c r="G50" i="7"/>
  <c r="G53" i="7"/>
  <c r="AU49" i="7"/>
  <c r="AU53" i="7"/>
  <c r="H49" i="6"/>
  <c r="AQ49" i="7"/>
  <c r="D49" i="6"/>
  <c r="D53" i="6"/>
  <c r="AI53" i="7"/>
  <c r="AA49" i="7"/>
  <c r="L49" i="4"/>
  <c r="S49" i="7"/>
  <c r="D49" i="4"/>
  <c r="AV140" i="8"/>
  <c r="AF140" i="8"/>
  <c r="P140" i="8"/>
  <c r="C140" i="8"/>
  <c r="I130" i="8"/>
  <c r="X42" i="7"/>
  <c r="I42" i="4"/>
  <c r="S125" i="8"/>
  <c r="C125" i="8"/>
  <c r="K41" i="5"/>
  <c r="AL41" i="7"/>
  <c r="C41" i="5"/>
  <c r="AD41" i="7"/>
  <c r="K41" i="3"/>
  <c r="N41" i="7"/>
  <c r="C41" i="3"/>
  <c r="F41" i="7"/>
  <c r="AX40" i="7"/>
  <c r="K40" i="6"/>
  <c r="AP40" i="7"/>
  <c r="C40" i="6"/>
  <c r="Z40" i="7"/>
  <c r="K40" i="4"/>
  <c r="R40" i="7"/>
  <c r="C40" i="4"/>
  <c r="D50" i="6"/>
  <c r="M60" i="4"/>
  <c r="I56" i="4"/>
  <c r="I36" i="4"/>
  <c r="H49" i="3"/>
  <c r="H53" i="3"/>
  <c r="C40" i="3"/>
  <c r="N33" i="3"/>
  <c r="V61" i="7"/>
  <c r="AA51" i="7"/>
  <c r="AE50" i="7"/>
  <c r="AE53" i="7"/>
  <c r="AX41" i="7"/>
  <c r="AH41" i="7"/>
  <c r="J30" i="25"/>
  <c r="K29" i="25"/>
  <c r="K16" i="24"/>
  <c r="E28" i="24"/>
  <c r="G167" i="8"/>
  <c r="G69" i="7"/>
  <c r="D69" i="3"/>
  <c r="E27" i="24"/>
  <c r="J28" i="12"/>
  <c r="M29" i="16"/>
  <c r="J29" i="12"/>
  <c r="AP22" i="15"/>
  <c r="AP23" i="16"/>
  <c r="AP23" i="15"/>
  <c r="J23" i="16"/>
  <c r="G23" i="12"/>
  <c r="I23" i="14"/>
  <c r="AO22" i="13"/>
  <c r="P70" i="5"/>
  <c r="F70" i="1"/>
  <c r="P70" i="3"/>
  <c r="D70" i="1"/>
  <c r="AU30" i="13"/>
  <c r="AU31" i="13"/>
  <c r="AW30" i="16"/>
  <c r="AW30" i="14"/>
  <c r="AW31" i="14"/>
  <c r="AM30" i="13"/>
  <c r="AM31" i="13"/>
  <c r="AO30" i="15"/>
  <c r="AO31" i="15"/>
  <c r="AO30" i="16"/>
  <c r="AE30" i="13"/>
  <c r="AE31" i="13"/>
  <c r="AG30" i="15"/>
  <c r="AG31" i="15"/>
  <c r="AG30" i="16"/>
  <c r="Y30" i="15"/>
  <c r="Y31" i="15"/>
  <c r="Y30" i="16"/>
  <c r="Q30" i="13"/>
  <c r="Q31" i="13"/>
  <c r="Q30" i="15"/>
  <c r="Q31" i="15"/>
  <c r="Q30" i="16"/>
  <c r="Q30" i="14"/>
  <c r="Q31" i="14"/>
  <c r="I30" i="15"/>
  <c r="I31" i="15"/>
  <c r="I30" i="16"/>
  <c r="I30" i="13"/>
  <c r="I31" i="13"/>
  <c r="P59" i="4"/>
  <c r="E59" i="1"/>
  <c r="AR30" i="13"/>
  <c r="AR31" i="13"/>
  <c r="AT30" i="14"/>
  <c r="AT31" i="14"/>
  <c r="AT30" i="16"/>
  <c r="AN30" i="13"/>
  <c r="AN31" i="13"/>
  <c r="AP30" i="14"/>
  <c r="AP31" i="14"/>
  <c r="AP30" i="16"/>
  <c r="AJ30" i="13"/>
  <c r="AJ31" i="13"/>
  <c r="AL30" i="15"/>
  <c r="AL31" i="15"/>
  <c r="AL30" i="16"/>
  <c r="AH61" i="7"/>
  <c r="AD30" i="15"/>
  <c r="AD31" i="15"/>
  <c r="AD30" i="16"/>
  <c r="Z30" i="14"/>
  <c r="Z31" i="14"/>
  <c r="Z30" i="15"/>
  <c r="Z31" i="15"/>
  <c r="Z30" i="16"/>
  <c r="V30" i="14"/>
  <c r="V31" i="14"/>
  <c r="V30" i="15"/>
  <c r="V31" i="15"/>
  <c r="V30" i="16"/>
  <c r="N30" i="14"/>
  <c r="N31" i="14"/>
  <c r="N30" i="15"/>
  <c r="N31" i="15"/>
  <c r="N30" i="13"/>
  <c r="N31" i="13"/>
  <c r="N30" i="16"/>
  <c r="J30" i="13"/>
  <c r="J31" i="13"/>
  <c r="J30" i="14"/>
  <c r="J31" i="14"/>
  <c r="J30" i="15"/>
  <c r="J31" i="15"/>
  <c r="J30" i="16"/>
  <c r="F30" i="14"/>
  <c r="F31" i="14"/>
  <c r="F30" i="15"/>
  <c r="F31" i="15"/>
  <c r="F30" i="13"/>
  <c r="F31" i="13"/>
  <c r="F30" i="16"/>
  <c r="AU149" i="8"/>
  <c r="AM149" i="8"/>
  <c r="AE149" i="8"/>
  <c r="W149" i="8"/>
  <c r="O149" i="8"/>
  <c r="G149" i="8"/>
  <c r="AU28" i="13"/>
  <c r="AU29" i="13"/>
  <c r="AW28" i="16"/>
  <c r="AQ28" i="13"/>
  <c r="AQ29" i="13"/>
  <c r="AS28" i="14"/>
  <c r="AS29" i="14"/>
  <c r="AM28" i="13"/>
  <c r="AM29" i="13"/>
  <c r="AO28" i="15"/>
  <c r="AO29" i="15"/>
  <c r="AO28" i="16"/>
  <c r="AE28" i="13"/>
  <c r="AE29" i="13"/>
  <c r="AG28" i="15"/>
  <c r="AG29" i="15"/>
  <c r="AG28" i="16"/>
  <c r="AC28" i="14"/>
  <c r="AC29" i="14"/>
  <c r="AC28" i="15"/>
  <c r="AC29" i="15"/>
  <c r="Y28" i="15"/>
  <c r="Y29" i="15"/>
  <c r="Y28" i="14"/>
  <c r="Y29" i="14"/>
  <c r="Y28" i="16"/>
  <c r="Q28" i="13"/>
  <c r="Q29" i="13"/>
  <c r="Q28" i="15"/>
  <c r="Q29" i="15"/>
  <c r="Q28" i="16"/>
  <c r="M28" i="14"/>
  <c r="M29" i="14"/>
  <c r="M28" i="13"/>
  <c r="M29" i="13"/>
  <c r="M28" i="15"/>
  <c r="M29" i="15"/>
  <c r="I28" i="13"/>
  <c r="I29" i="13"/>
  <c r="I28" i="15"/>
  <c r="I29" i="15"/>
  <c r="I28" i="14"/>
  <c r="I29" i="14"/>
  <c r="I28" i="16"/>
  <c r="I139" i="8"/>
  <c r="AZ138" i="8"/>
  <c r="AZ140" i="8"/>
  <c r="AR138" i="8"/>
  <c r="AR140" i="8"/>
  <c r="AJ138" i="8"/>
  <c r="AJ140" i="8"/>
  <c r="AB140" i="8"/>
  <c r="T140" i="8"/>
  <c r="L140" i="8"/>
  <c r="E134" i="8"/>
  <c r="E135" i="8"/>
  <c r="AV133" i="8"/>
  <c r="AN133" i="8"/>
  <c r="X135" i="8"/>
  <c r="L135" i="8"/>
  <c r="AI129" i="8"/>
  <c r="AI130" i="8"/>
  <c r="AA129" i="8"/>
  <c r="AA130" i="8"/>
  <c r="S129" i="8"/>
  <c r="S130" i="8"/>
  <c r="C129" i="8"/>
  <c r="C130" i="8"/>
  <c r="AX123" i="8"/>
  <c r="AP123" i="8"/>
  <c r="AA125" i="8"/>
  <c r="AV116" i="8"/>
  <c r="AV118" i="8"/>
  <c r="AN116" i="8"/>
  <c r="AN118" i="8"/>
  <c r="AF116" i="8"/>
  <c r="AF118" i="8"/>
  <c r="X118" i="8"/>
  <c r="P118" i="8"/>
  <c r="H118" i="8"/>
  <c r="C118" i="8"/>
  <c r="I112" i="8"/>
  <c r="AZ111" i="8"/>
  <c r="AZ113" i="8"/>
  <c r="AR111" i="8"/>
  <c r="AR113" i="8"/>
  <c r="AF111" i="8"/>
  <c r="P113" i="8"/>
  <c r="H113" i="8"/>
  <c r="AX106" i="8"/>
  <c r="AP106" i="8"/>
  <c r="N106" i="8"/>
  <c r="I106" i="8"/>
  <c r="I108" i="8"/>
  <c r="AM112" i="8"/>
  <c r="AM113" i="8"/>
  <c r="AM134" i="8"/>
  <c r="AM135" i="8"/>
  <c r="AM117" i="8"/>
  <c r="AM118" i="8"/>
  <c r="AM139" i="8"/>
  <c r="AM140" i="8"/>
  <c r="AE112" i="8"/>
  <c r="AE113" i="8"/>
  <c r="AE134" i="8"/>
  <c r="AE135" i="8"/>
  <c r="AE117" i="8"/>
  <c r="AE118" i="8"/>
  <c r="AE139" i="8"/>
  <c r="AE140" i="8"/>
  <c r="W112" i="8"/>
  <c r="W113" i="8"/>
  <c r="W134" i="8"/>
  <c r="W135" i="8"/>
  <c r="W139" i="8"/>
  <c r="W140" i="8"/>
  <c r="W117" i="8"/>
  <c r="W118" i="8"/>
  <c r="AX99" i="8"/>
  <c r="AP99" i="8"/>
  <c r="AA101" i="8"/>
  <c r="AA102" i="8"/>
  <c r="AX98" i="8"/>
  <c r="AP98" i="8"/>
  <c r="N98" i="8"/>
  <c r="I98" i="8"/>
  <c r="AF24" i="13"/>
  <c r="AF25" i="13"/>
  <c r="AH24" i="15"/>
  <c r="AH25" i="15"/>
  <c r="AH24" i="16"/>
  <c r="AK23" i="15"/>
  <c r="U23" i="15"/>
  <c r="Q23" i="14"/>
  <c r="E23" i="15"/>
  <c r="AY53" i="8"/>
  <c r="AI53" i="8"/>
  <c r="S53" i="8"/>
  <c r="AT111" i="8"/>
  <c r="AT133" i="8"/>
  <c r="AT116" i="8"/>
  <c r="AT138" i="8"/>
  <c r="AH111" i="8"/>
  <c r="AH117" i="8"/>
  <c r="AH133" i="8"/>
  <c r="AH116" i="8"/>
  <c r="AH124" i="8"/>
  <c r="AH125" i="8"/>
  <c r="AH138" i="8"/>
  <c r="Q116" i="8"/>
  <c r="Q138" i="8"/>
  <c r="Q123" i="8"/>
  <c r="Q46" i="8"/>
  <c r="Q99" i="8"/>
  <c r="Q107" i="8"/>
  <c r="Q108" i="8"/>
  <c r="AX29" i="8"/>
  <c r="AX33" i="8"/>
  <c r="AX44" i="8"/>
  <c r="AH29" i="8"/>
  <c r="R29" i="8"/>
  <c r="R33" i="8"/>
  <c r="R44" i="8"/>
  <c r="O45" i="8"/>
  <c r="G45" i="8"/>
  <c r="AP33" i="8"/>
  <c r="AP44" i="8"/>
  <c r="AH33" i="8"/>
  <c r="AH44" i="8"/>
  <c r="Z33" i="8"/>
  <c r="Z44" i="8"/>
  <c r="J33" i="8"/>
  <c r="J44" i="8"/>
  <c r="AZ22" i="8"/>
  <c r="AZ31" i="8"/>
  <c r="AZ41" i="8"/>
  <c r="AR22" i="8"/>
  <c r="AR31" i="8"/>
  <c r="AR41" i="8"/>
  <c r="AJ22" i="8"/>
  <c r="AJ31" i="8"/>
  <c r="AJ41" i="8"/>
  <c r="AB22" i="8"/>
  <c r="AB31" i="8"/>
  <c r="AB41" i="8"/>
  <c r="T22" i="8"/>
  <c r="T31" i="8"/>
  <c r="T41" i="8"/>
  <c r="L22" i="8"/>
  <c r="L31" i="8"/>
  <c r="L41" i="8"/>
  <c r="C29" i="8"/>
  <c r="C22" i="8"/>
  <c r="AX27" i="8"/>
  <c r="AX40" i="8"/>
  <c r="AX42" i="8"/>
  <c r="AX26" i="8"/>
  <c r="AX34" i="8"/>
  <c r="AX45" i="8"/>
  <c r="AX52" i="8"/>
  <c r="AX53" i="8"/>
  <c r="AX100" i="8"/>
  <c r="AX124" i="8"/>
  <c r="AT27" i="8"/>
  <c r="AT26" i="8"/>
  <c r="AT34" i="8"/>
  <c r="AT45" i="8"/>
  <c r="AT52" i="8"/>
  <c r="AT53" i="8"/>
  <c r="AT100" i="8"/>
  <c r="AT139" i="8"/>
  <c r="AP27" i="8"/>
  <c r="AP40" i="8"/>
  <c r="AP42" i="8"/>
  <c r="AP26" i="8"/>
  <c r="AP34" i="8"/>
  <c r="AP45" i="8"/>
  <c r="AP52" i="8"/>
  <c r="AP53" i="8"/>
  <c r="AP100" i="8"/>
  <c r="AP117" i="8"/>
  <c r="AL27" i="8"/>
  <c r="AL26" i="8"/>
  <c r="AL34" i="8"/>
  <c r="AL45" i="8"/>
  <c r="AL52" i="8"/>
  <c r="AL53" i="8"/>
  <c r="AL100" i="8"/>
  <c r="AH27" i="8"/>
  <c r="AH40" i="8"/>
  <c r="AH42" i="8"/>
  <c r="AH26" i="8"/>
  <c r="AH34" i="8"/>
  <c r="AH45" i="8"/>
  <c r="AH52" i="8"/>
  <c r="AH53" i="8"/>
  <c r="AH100" i="8"/>
  <c r="AH101" i="8"/>
  <c r="AH102" i="8"/>
  <c r="AD27" i="8"/>
  <c r="AD26" i="8"/>
  <c r="AD34" i="8"/>
  <c r="AD45" i="8"/>
  <c r="AD52" i="8"/>
  <c r="AD53" i="8"/>
  <c r="AD100" i="8"/>
  <c r="AD117" i="8"/>
  <c r="Z27" i="8"/>
  <c r="Z40" i="8"/>
  <c r="Z42" i="8"/>
  <c r="Z26" i="8"/>
  <c r="Z34" i="8"/>
  <c r="Z45" i="8"/>
  <c r="Z52" i="8"/>
  <c r="Z53" i="8"/>
  <c r="Z100" i="8"/>
  <c r="V27" i="8"/>
  <c r="V26" i="8"/>
  <c r="V34" i="8"/>
  <c r="V45" i="8"/>
  <c r="V52" i="8"/>
  <c r="V53" i="8"/>
  <c r="V100" i="8"/>
  <c r="V124" i="8"/>
  <c r="R27" i="8"/>
  <c r="R40" i="8"/>
  <c r="R42" i="8"/>
  <c r="R26" i="8"/>
  <c r="R34" i="8"/>
  <c r="R45" i="8"/>
  <c r="R52" i="8"/>
  <c r="R53" i="8"/>
  <c r="R100" i="8"/>
  <c r="N27" i="8"/>
  <c r="N26" i="8"/>
  <c r="N34" i="8"/>
  <c r="N45" i="8"/>
  <c r="N52" i="8"/>
  <c r="N53" i="8"/>
  <c r="N100" i="8"/>
  <c r="J27" i="8"/>
  <c r="J40" i="8"/>
  <c r="J26" i="8"/>
  <c r="J34" i="8"/>
  <c r="J45" i="8"/>
  <c r="J52" i="8"/>
  <c r="J53" i="8"/>
  <c r="J100" i="8"/>
  <c r="J117" i="8"/>
  <c r="F27" i="8"/>
  <c r="F26" i="8"/>
  <c r="F52" i="8"/>
  <c r="F53" i="8"/>
  <c r="F100" i="8"/>
  <c r="AW35" i="8"/>
  <c r="AW46" i="8"/>
  <c r="AW39" i="8"/>
  <c r="AW42" i="8"/>
  <c r="AO35" i="8"/>
  <c r="AO46" i="8"/>
  <c r="AO39" i="8"/>
  <c r="AO42" i="8"/>
  <c r="AG35" i="8"/>
  <c r="AG46" i="8"/>
  <c r="AG39" i="8"/>
  <c r="AG42" i="8"/>
  <c r="Y35" i="8"/>
  <c r="Y39" i="8"/>
  <c r="Y42" i="8"/>
  <c r="Q35" i="8"/>
  <c r="Q39" i="8"/>
  <c r="Q42" i="8"/>
  <c r="I35" i="8"/>
  <c r="I46" i="8"/>
  <c r="I39" i="8"/>
  <c r="I42" i="8"/>
  <c r="AZ34" i="8"/>
  <c r="AZ45" i="8"/>
  <c r="AV34" i="8"/>
  <c r="AV45" i="8"/>
  <c r="AR34" i="8"/>
  <c r="AR45" i="8"/>
  <c r="AN34" i="8"/>
  <c r="AN45" i="8"/>
  <c r="AJ34" i="8"/>
  <c r="AJ45" i="8"/>
  <c r="AF34" i="8"/>
  <c r="AF45" i="8"/>
  <c r="AB34" i="8"/>
  <c r="AB45" i="8"/>
  <c r="X34" i="8"/>
  <c r="X45" i="8"/>
  <c r="T34" i="8"/>
  <c r="T45" i="8"/>
  <c r="P34" i="8"/>
  <c r="P45" i="8"/>
  <c r="L34" i="8"/>
  <c r="L45" i="8"/>
  <c r="H34" i="8"/>
  <c r="H45" i="8"/>
  <c r="AY12" i="8"/>
  <c r="AY33" i="8"/>
  <c r="AY44" i="8"/>
  <c r="AU12" i="8"/>
  <c r="AU33" i="8"/>
  <c r="AU44" i="8"/>
  <c r="AQ12" i="8"/>
  <c r="AQ33" i="8"/>
  <c r="AQ44" i="8"/>
  <c r="AM12" i="8"/>
  <c r="AM33" i="8"/>
  <c r="AM44" i="8"/>
  <c r="AI12" i="8"/>
  <c r="AI33" i="8"/>
  <c r="AI44" i="8"/>
  <c r="AE12" i="8"/>
  <c r="AE33" i="8"/>
  <c r="AE44" i="8"/>
  <c r="AA12" i="8"/>
  <c r="AA33" i="8"/>
  <c r="AA44" i="8"/>
  <c r="W12" i="8"/>
  <c r="W33" i="8"/>
  <c r="W44" i="8"/>
  <c r="S12" i="8"/>
  <c r="S33" i="8"/>
  <c r="S44" i="8"/>
  <c r="O12" i="8"/>
  <c r="O33" i="8"/>
  <c r="O44" i="8"/>
  <c r="K12" i="8"/>
  <c r="K33" i="8"/>
  <c r="K44" i="8"/>
  <c r="G12" i="8"/>
  <c r="G33" i="8"/>
  <c r="G44" i="8"/>
  <c r="AZ63" i="8"/>
  <c r="AV63" i="8"/>
  <c r="AR63" i="8"/>
  <c r="AN63" i="8"/>
  <c r="AJ63" i="8"/>
  <c r="AF63" i="8"/>
  <c r="AB63" i="8"/>
  <c r="X63" i="8"/>
  <c r="T63" i="8"/>
  <c r="P63" i="8"/>
  <c r="L63" i="8"/>
  <c r="H63" i="8"/>
  <c r="AZ62" i="8"/>
  <c r="AZ64" i="8"/>
  <c r="AZ69" i="8"/>
  <c r="AV62" i="8"/>
  <c r="AV64" i="8"/>
  <c r="AV69" i="8"/>
  <c r="AR62" i="8"/>
  <c r="AR64" i="8"/>
  <c r="AR69" i="8"/>
  <c r="AN62" i="8"/>
  <c r="AN64" i="8"/>
  <c r="AN69" i="8"/>
  <c r="AJ62" i="8"/>
  <c r="AJ64" i="8"/>
  <c r="AJ69" i="8"/>
  <c r="AF62" i="8"/>
  <c r="AF64" i="8"/>
  <c r="AF69" i="8"/>
  <c r="AB62" i="8"/>
  <c r="AB64" i="8"/>
  <c r="AB69" i="8"/>
  <c r="X62" i="8"/>
  <c r="X64" i="8"/>
  <c r="X69" i="8"/>
  <c r="T62" i="8"/>
  <c r="T64" i="8"/>
  <c r="T69" i="8"/>
  <c r="P62" i="8"/>
  <c r="P64" i="8"/>
  <c r="P69" i="8"/>
  <c r="L62" i="8"/>
  <c r="L64" i="8"/>
  <c r="L69" i="8"/>
  <c r="H62" i="8"/>
  <c r="H64" i="8"/>
  <c r="H69" i="8"/>
  <c r="Q51" i="8"/>
  <c r="Q53" i="8"/>
  <c r="AC51" i="8"/>
  <c r="AC53" i="8"/>
  <c r="M51" i="8"/>
  <c r="M53" i="8"/>
  <c r="Y51" i="8"/>
  <c r="Y53" i="8"/>
  <c r="I51" i="8"/>
  <c r="U51" i="8"/>
  <c r="U53" i="8"/>
  <c r="E53" i="9"/>
  <c r="E72" i="9"/>
  <c r="E74" i="9"/>
  <c r="E59" i="6"/>
  <c r="L56" i="6"/>
  <c r="D56" i="6"/>
  <c r="K51" i="6"/>
  <c r="H50" i="6"/>
  <c r="C41" i="6"/>
  <c r="P23" i="6"/>
  <c r="G23" i="1"/>
  <c r="I23" i="1"/>
  <c r="H71" i="5"/>
  <c r="H58" i="5"/>
  <c r="M57" i="5"/>
  <c r="D52" i="5"/>
  <c r="K49" i="5"/>
  <c r="K53" i="5"/>
  <c r="C49" i="5"/>
  <c r="I60" i="4"/>
  <c r="H57" i="4"/>
  <c r="M56" i="4"/>
  <c r="M61" i="4"/>
  <c r="E56" i="4"/>
  <c r="E61" i="4"/>
  <c r="G52" i="4"/>
  <c r="D51" i="4"/>
  <c r="H37" i="4"/>
  <c r="M36" i="4"/>
  <c r="E36" i="4"/>
  <c r="L59" i="3"/>
  <c r="D59" i="3"/>
  <c r="I58" i="3"/>
  <c r="K61" i="3"/>
  <c r="L49" i="3"/>
  <c r="L53" i="3"/>
  <c r="D49" i="3"/>
  <c r="M42" i="3"/>
  <c r="E42" i="3"/>
  <c r="J41" i="3"/>
  <c r="G40" i="3"/>
  <c r="J33" i="3"/>
  <c r="J17" i="3"/>
  <c r="AI70" i="7"/>
  <c r="K70" i="7"/>
  <c r="D72" i="7"/>
  <c r="C72" i="7"/>
  <c r="AI60" i="7"/>
  <c r="AF59" i="7"/>
  <c r="X58" i="7"/>
  <c r="AR57" i="7"/>
  <c r="AR61" i="7"/>
  <c r="AL61" i="7"/>
  <c r="AA56" i="7"/>
  <c r="AA61" i="7"/>
  <c r="F61" i="7"/>
  <c r="AY52" i="7"/>
  <c r="S52" i="7"/>
  <c r="K51" i="7"/>
  <c r="K53" i="7"/>
  <c r="Z50" i="7"/>
  <c r="O50" i="7"/>
  <c r="O53" i="7"/>
  <c r="AX49" i="7"/>
  <c r="AX53" i="7"/>
  <c r="AN53" i="7"/>
  <c r="R49" i="7"/>
  <c r="R53" i="7"/>
  <c r="H53" i="7"/>
  <c r="W42" i="7"/>
  <c r="J41" i="7"/>
  <c r="V40" i="7"/>
  <c r="H35" i="7"/>
  <c r="C34" i="25"/>
  <c r="AC28" i="16"/>
  <c r="Z22" i="13"/>
  <c r="Z23" i="16"/>
  <c r="Z23" i="13"/>
  <c r="AC23" i="15"/>
  <c r="I30" i="14"/>
  <c r="I31" i="14"/>
  <c r="AW28" i="14"/>
  <c r="AW29" i="14"/>
  <c r="G22" i="12"/>
  <c r="BA39" i="13"/>
  <c r="F22" i="12"/>
  <c r="D33" i="23"/>
  <c r="E15" i="18"/>
  <c r="F15" i="23"/>
  <c r="E15" i="22"/>
  <c r="C32" i="11"/>
  <c r="G32" i="11"/>
  <c r="C33" i="14"/>
  <c r="C33" i="15"/>
  <c r="C33" i="16"/>
  <c r="C30" i="13"/>
  <c r="C31" i="13"/>
  <c r="C30" i="14"/>
  <c r="C31" i="14"/>
  <c r="C30" i="15"/>
  <c r="C31" i="15"/>
  <c r="AV22" i="13"/>
  <c r="AX22" i="14"/>
  <c r="AR22" i="13"/>
  <c r="AT22" i="14"/>
  <c r="AT22" i="16"/>
  <c r="AN22" i="13"/>
  <c r="AP22" i="14"/>
  <c r="AJ22" i="13"/>
  <c r="AL22" i="15"/>
  <c r="AL22" i="16"/>
  <c r="AF22" i="13"/>
  <c r="AH22" i="15"/>
  <c r="AD22" i="15"/>
  <c r="AD22" i="16"/>
  <c r="Z22" i="14"/>
  <c r="Z22" i="15"/>
  <c r="V22" i="14"/>
  <c r="V22" i="15"/>
  <c r="V22" i="16"/>
  <c r="R22" i="14"/>
  <c r="R22" i="15"/>
  <c r="N22" i="14"/>
  <c r="N22" i="15"/>
  <c r="N22" i="16"/>
  <c r="J22" i="13"/>
  <c r="J22" i="14"/>
  <c r="J22" i="15"/>
  <c r="F22" i="14"/>
  <c r="F22" i="15"/>
  <c r="F22" i="13"/>
  <c r="F22" i="16"/>
  <c r="AB13" i="16"/>
  <c r="AB17" i="7"/>
  <c r="AB13" i="15"/>
  <c r="X17" i="7"/>
  <c r="X13" i="14"/>
  <c r="T13" i="16"/>
  <c r="T17" i="7"/>
  <c r="T13" i="15"/>
  <c r="M13" i="12"/>
  <c r="P13" i="13"/>
  <c r="P17" i="7"/>
  <c r="P13" i="14"/>
  <c r="I13" i="12"/>
  <c r="L13" i="13"/>
  <c r="L13" i="16"/>
  <c r="L14" i="16"/>
  <c r="I14" i="12"/>
  <c r="L17" i="7"/>
  <c r="L13" i="15"/>
  <c r="E13" i="12"/>
  <c r="H13" i="13"/>
  <c r="H17" i="7"/>
  <c r="H13" i="14"/>
  <c r="N70" i="6"/>
  <c r="J70" i="6"/>
  <c r="F70" i="6"/>
  <c r="N57" i="6"/>
  <c r="N61" i="6"/>
  <c r="J57" i="6"/>
  <c r="J61" i="6"/>
  <c r="F57" i="6"/>
  <c r="P57" i="6"/>
  <c r="G57" i="1"/>
  <c r="K56" i="6"/>
  <c r="K61" i="6"/>
  <c r="G56" i="6"/>
  <c r="G61" i="6"/>
  <c r="C56" i="6"/>
  <c r="M52" i="6"/>
  <c r="M53" i="6"/>
  <c r="I52" i="6"/>
  <c r="I53" i="6"/>
  <c r="N51" i="6"/>
  <c r="N53" i="6"/>
  <c r="J51" i="6"/>
  <c r="F51" i="6"/>
  <c r="F53" i="6"/>
  <c r="K36" i="6"/>
  <c r="C36" i="6"/>
  <c r="K71" i="5"/>
  <c r="G71" i="5"/>
  <c r="C71" i="5"/>
  <c r="F59" i="5"/>
  <c r="F61" i="5"/>
  <c r="K58" i="5"/>
  <c r="K61" i="5"/>
  <c r="G58" i="5"/>
  <c r="G61" i="5"/>
  <c r="C58" i="5"/>
  <c r="M50" i="5"/>
  <c r="M53" i="5"/>
  <c r="I50" i="5"/>
  <c r="I53" i="5"/>
  <c r="E50" i="5"/>
  <c r="P50" i="5"/>
  <c r="F50" i="1"/>
  <c r="N49" i="5"/>
  <c r="J49" i="5"/>
  <c r="J53" i="5"/>
  <c r="F49" i="5"/>
  <c r="F53" i="5"/>
  <c r="H41" i="5"/>
  <c r="M40" i="5"/>
  <c r="I40" i="5"/>
  <c r="E40" i="5"/>
  <c r="K34" i="5"/>
  <c r="G34" i="5"/>
  <c r="C34" i="5"/>
  <c r="L33" i="5"/>
  <c r="D33" i="5"/>
  <c r="D17" i="5"/>
  <c r="N70" i="4"/>
  <c r="J70" i="4"/>
  <c r="F70" i="4"/>
  <c r="P70" i="4"/>
  <c r="E70" i="1"/>
  <c r="C60" i="4"/>
  <c r="N57" i="4"/>
  <c r="J57" i="4"/>
  <c r="J61" i="4"/>
  <c r="F57" i="4"/>
  <c r="F61" i="4"/>
  <c r="K56" i="4"/>
  <c r="K61" i="4"/>
  <c r="G56" i="4"/>
  <c r="C56" i="4"/>
  <c r="E52" i="4"/>
  <c r="P52" i="4"/>
  <c r="E52" i="1"/>
  <c r="N51" i="4"/>
  <c r="N53" i="4"/>
  <c r="J51" i="4"/>
  <c r="J53" i="4"/>
  <c r="F51" i="4"/>
  <c r="F53" i="4"/>
  <c r="K36" i="4"/>
  <c r="C36" i="4"/>
  <c r="K71" i="3"/>
  <c r="G71" i="3"/>
  <c r="C71" i="3"/>
  <c r="P71" i="3"/>
  <c r="D71" i="1"/>
  <c r="N59" i="3"/>
  <c r="N61" i="3"/>
  <c r="J59" i="3"/>
  <c r="J61" i="3"/>
  <c r="K58" i="3"/>
  <c r="G58" i="3"/>
  <c r="G61" i="3"/>
  <c r="C58" i="3"/>
  <c r="M50" i="3"/>
  <c r="I50" i="3"/>
  <c r="I53" i="3"/>
  <c r="E50" i="3"/>
  <c r="E53" i="3"/>
  <c r="N49" i="3"/>
  <c r="N53" i="3"/>
  <c r="J49" i="3"/>
  <c r="J53" i="3"/>
  <c r="F49" i="3"/>
  <c r="H41" i="3"/>
  <c r="M40" i="3"/>
  <c r="I40" i="3"/>
  <c r="E40" i="3"/>
  <c r="K34" i="3"/>
  <c r="G34" i="3"/>
  <c r="C34" i="3"/>
  <c r="L33" i="3"/>
  <c r="D33" i="3"/>
  <c r="M29" i="3"/>
  <c r="I29" i="3"/>
  <c r="E29" i="3"/>
  <c r="E8" i="2"/>
  <c r="E18" i="2"/>
  <c r="AL70" i="7"/>
  <c r="AH70" i="7"/>
  <c r="AD70" i="7"/>
  <c r="N70" i="7"/>
  <c r="J70" i="7"/>
  <c r="F70" i="7"/>
  <c r="BA60" i="7"/>
  <c r="BA61" i="7"/>
  <c r="AW60" i="7"/>
  <c r="AW61" i="7"/>
  <c r="AS60" i="7"/>
  <c r="AS61" i="7"/>
  <c r="AC60" i="7"/>
  <c r="AC61" i="7"/>
  <c r="Y60" i="7"/>
  <c r="AX59" i="7"/>
  <c r="AX61" i="7"/>
  <c r="R59" i="7"/>
  <c r="R61" i="7"/>
  <c r="AG58" i="7"/>
  <c r="AG61" i="7"/>
  <c r="Q58" i="7"/>
  <c r="Q61" i="7"/>
  <c r="J57" i="7"/>
  <c r="J61" i="7"/>
  <c r="AT56" i="7"/>
  <c r="AT61" i="7"/>
  <c r="AD56" i="7"/>
  <c r="AD61" i="7"/>
  <c r="Y56" i="7"/>
  <c r="Y61" i="7"/>
  <c r="N56" i="7"/>
  <c r="N61" i="7"/>
  <c r="AK52" i="7"/>
  <c r="AK53" i="7"/>
  <c r="X51" i="7"/>
  <c r="X53" i="7"/>
  <c r="AS50" i="7"/>
  <c r="AS53" i="7"/>
  <c r="AC50" i="7"/>
  <c r="AC53" i="7"/>
  <c r="C53" i="7"/>
  <c r="AW49" i="7"/>
  <c r="AW53" i="7"/>
  <c r="AG49" i="7"/>
  <c r="AG53" i="7"/>
  <c r="Q49" i="7"/>
  <c r="Q53" i="7"/>
  <c r="L49" i="7"/>
  <c r="L53" i="7"/>
  <c r="AU34" i="7"/>
  <c r="W34" i="7"/>
  <c r="G31" i="25"/>
  <c r="F41" i="16"/>
  <c r="F23" i="21"/>
  <c r="G23" i="21"/>
  <c r="C30" i="16"/>
  <c r="C31" i="16"/>
  <c r="AX22" i="16"/>
  <c r="AH22" i="16"/>
  <c r="R22" i="16"/>
  <c r="P13" i="15"/>
  <c r="AW22" i="14"/>
  <c r="Y22" i="13"/>
  <c r="C34" i="13"/>
  <c r="C12" i="23"/>
  <c r="D8" i="23"/>
  <c r="C34" i="14"/>
  <c r="C34" i="15"/>
  <c r="D33" i="22"/>
  <c r="G33" i="21"/>
  <c r="F37" i="21"/>
  <c r="AX157" i="8"/>
  <c r="AH157" i="8"/>
  <c r="R157" i="8"/>
  <c r="BA149" i="8"/>
  <c r="AK149" i="8"/>
  <c r="U149" i="8"/>
  <c r="E27" i="11"/>
  <c r="E28" i="11"/>
  <c r="E28" i="13"/>
  <c r="E29" i="13"/>
  <c r="E28" i="14"/>
  <c r="E29" i="14"/>
  <c r="AB91" i="8"/>
  <c r="X91" i="8"/>
  <c r="T91" i="8"/>
  <c r="P91" i="8"/>
  <c r="L91" i="8"/>
  <c r="H91" i="8"/>
  <c r="AY22" i="13"/>
  <c r="BA22" i="14"/>
  <c r="BA22" i="16"/>
  <c r="AQ22" i="13"/>
  <c r="AS22" i="14"/>
  <c r="AS22" i="16"/>
  <c r="AM22" i="13"/>
  <c r="AO22" i="15"/>
  <c r="AI22" i="13"/>
  <c r="AK22" i="16"/>
  <c r="AE22" i="13"/>
  <c r="AG22" i="15"/>
  <c r="AC22" i="14"/>
  <c r="AC22" i="16"/>
  <c r="U22" i="14"/>
  <c r="U22" i="16"/>
  <c r="Q22" i="13"/>
  <c r="Q22" i="15"/>
  <c r="M22" i="13"/>
  <c r="M22" i="14"/>
  <c r="M22" i="16"/>
  <c r="E22" i="13"/>
  <c r="E21" i="11"/>
  <c r="E22" i="14"/>
  <c r="E22" i="16"/>
  <c r="AM13" i="16"/>
  <c r="AK13" i="13"/>
  <c r="AG13" i="13"/>
  <c r="AI13" i="16"/>
  <c r="AI13" i="15"/>
  <c r="AE14" i="16"/>
  <c r="AE14" i="14"/>
  <c r="AE13" i="14"/>
  <c r="AA13" i="16"/>
  <c r="AA13" i="15"/>
  <c r="W13" i="16"/>
  <c r="W13" i="14"/>
  <c r="S13" i="16"/>
  <c r="S13" i="15"/>
  <c r="AY63" i="8"/>
  <c r="AU63" i="8"/>
  <c r="AQ63" i="8"/>
  <c r="AM63" i="8"/>
  <c r="AI63" i="8"/>
  <c r="AE63" i="8"/>
  <c r="AA63" i="8"/>
  <c r="W63" i="8"/>
  <c r="S63" i="8"/>
  <c r="O63" i="8"/>
  <c r="K63" i="8"/>
  <c r="G63" i="8"/>
  <c r="AY62" i="8"/>
  <c r="AY64" i="8"/>
  <c r="AY69" i="8"/>
  <c r="AU62" i="8"/>
  <c r="AU64" i="8"/>
  <c r="AU69" i="8"/>
  <c r="AQ62" i="8"/>
  <c r="AM62" i="8"/>
  <c r="AM64" i="8"/>
  <c r="AM69" i="8"/>
  <c r="AI62" i="8"/>
  <c r="AI64" i="8"/>
  <c r="AI69" i="8"/>
  <c r="AE62" i="8"/>
  <c r="AE64" i="8"/>
  <c r="AE69" i="8"/>
  <c r="AA62" i="8"/>
  <c r="W62" i="8"/>
  <c r="W64" i="8"/>
  <c r="W69" i="8"/>
  <c r="S62" i="8"/>
  <c r="S64" i="8"/>
  <c r="S69" i="8"/>
  <c r="O62" i="8"/>
  <c r="O64" i="8"/>
  <c r="O69" i="8"/>
  <c r="K62" i="8"/>
  <c r="G62" i="8"/>
  <c r="G64" i="8"/>
  <c r="F56" i="6"/>
  <c r="F61" i="6"/>
  <c r="E51" i="6"/>
  <c r="E53" i="6"/>
  <c r="J50" i="6"/>
  <c r="J53" i="6"/>
  <c r="M41" i="6"/>
  <c r="I41" i="6"/>
  <c r="E41" i="6"/>
  <c r="M33" i="6"/>
  <c r="I33" i="6"/>
  <c r="E33" i="6"/>
  <c r="J58" i="5"/>
  <c r="J61" i="5"/>
  <c r="C57" i="5"/>
  <c r="C61" i="5"/>
  <c r="N52" i="5"/>
  <c r="E49" i="5"/>
  <c r="E53" i="5"/>
  <c r="L40" i="5"/>
  <c r="H40" i="5"/>
  <c r="D40" i="5"/>
  <c r="P40" i="5"/>
  <c r="F40" i="1"/>
  <c r="L36" i="5"/>
  <c r="H36" i="5"/>
  <c r="D36" i="5"/>
  <c r="L29" i="5"/>
  <c r="H29" i="5"/>
  <c r="D29" i="5"/>
  <c r="G59" i="4"/>
  <c r="N56" i="4"/>
  <c r="M51" i="4"/>
  <c r="M53" i="4"/>
  <c r="M41" i="4"/>
  <c r="I41" i="4"/>
  <c r="E41" i="4"/>
  <c r="M33" i="4"/>
  <c r="I33" i="4"/>
  <c r="E33" i="4"/>
  <c r="M17" i="4"/>
  <c r="I17" i="4"/>
  <c r="E17" i="4"/>
  <c r="K57" i="3"/>
  <c r="F52" i="3"/>
  <c r="M49" i="3"/>
  <c r="M53" i="3"/>
  <c r="L40" i="3"/>
  <c r="H40" i="3"/>
  <c r="D40" i="3"/>
  <c r="L36" i="3"/>
  <c r="H36" i="3"/>
  <c r="D36" i="3"/>
  <c r="AM17" i="7"/>
  <c r="AE17" i="7"/>
  <c r="W17" i="7"/>
  <c r="P40" i="12"/>
  <c r="P39" i="12"/>
  <c r="AY36" i="15"/>
  <c r="AQ36" i="15"/>
  <c r="AI36" i="14"/>
  <c r="AA36" i="13"/>
  <c r="W36" i="13"/>
  <c r="S36" i="13"/>
  <c r="AW22" i="16"/>
  <c r="AG22" i="16"/>
  <c r="Q22" i="16"/>
  <c r="X13" i="16"/>
  <c r="H13" i="16"/>
  <c r="H14" i="16"/>
  <c r="E14" i="12"/>
  <c r="AE13" i="15"/>
  <c r="BC36" i="14"/>
  <c r="T13" i="14"/>
  <c r="N22" i="13"/>
  <c r="F16" i="19"/>
  <c r="G16" i="23"/>
  <c r="B31" i="25"/>
  <c r="B29" i="24"/>
  <c r="P36" i="12"/>
  <c r="E33" i="17"/>
  <c r="H33" i="23"/>
  <c r="D10" i="22"/>
  <c r="D12" i="22"/>
  <c r="E8" i="22"/>
  <c r="D12" i="21"/>
  <c r="E8" i="21"/>
  <c r="D10" i="21"/>
  <c r="F33" i="20"/>
  <c r="E37" i="20"/>
  <c r="E16" i="16"/>
  <c r="G40" i="11"/>
  <c r="E33" i="19"/>
  <c r="C23" i="18"/>
  <c r="D23" i="23"/>
  <c r="D23" i="18"/>
  <c r="D15" i="21"/>
  <c r="D12" i="20"/>
  <c r="E8" i="20"/>
  <c r="D10" i="20"/>
  <c r="E10" i="19"/>
  <c r="E12" i="19"/>
  <c r="E15" i="20"/>
  <c r="D16" i="19"/>
  <c r="F33" i="18"/>
  <c r="E37" i="18"/>
  <c r="D16" i="18"/>
  <c r="D12" i="18"/>
  <c r="E8" i="18"/>
  <c r="D10" i="18"/>
  <c r="AU9" i="7"/>
  <c r="AU11" i="16"/>
  <c r="AS11" i="13"/>
  <c r="AS12" i="13"/>
  <c r="AU11" i="14"/>
  <c r="AU12" i="14"/>
  <c r="H9" i="6"/>
  <c r="J8" i="6"/>
  <c r="AW8" i="7"/>
  <c r="W45" i="7"/>
  <c r="H45" i="4"/>
  <c r="W142" i="8"/>
  <c r="AY39" i="7"/>
  <c r="L39" i="6"/>
  <c r="AP8" i="7"/>
  <c r="C8" i="6"/>
  <c r="AE11" i="15"/>
  <c r="AE12" i="15"/>
  <c r="AE9" i="7"/>
  <c r="D9" i="5"/>
  <c r="AE11" i="16"/>
  <c r="AW11" i="13"/>
  <c r="AW12" i="13"/>
  <c r="AY11" i="16"/>
  <c r="AY11" i="14"/>
  <c r="AY12" i="14"/>
  <c r="AY9" i="7"/>
  <c r="L9" i="6"/>
  <c r="G69" i="8"/>
  <c r="AK11" i="13"/>
  <c r="AK12" i="13"/>
  <c r="AM11" i="15"/>
  <c r="AM12" i="15"/>
  <c r="AM11" i="16"/>
  <c r="AM9" i="7"/>
  <c r="L9" i="5"/>
  <c r="H11" i="13"/>
  <c r="H12" i="13"/>
  <c r="H11" i="16"/>
  <c r="H12" i="16"/>
  <c r="E11" i="12"/>
  <c r="E12" i="12"/>
  <c r="H11" i="14"/>
  <c r="H12" i="14"/>
  <c r="H9" i="7"/>
  <c r="H11" i="15"/>
  <c r="H12" i="15"/>
  <c r="E9" i="3"/>
  <c r="X11" i="16"/>
  <c r="X11" i="14"/>
  <c r="X12" i="14"/>
  <c r="X9" i="7"/>
  <c r="I9" i="4"/>
  <c r="X76" i="8"/>
  <c r="X11" i="15"/>
  <c r="X12" i="15"/>
  <c r="AN11" i="16"/>
  <c r="AN9" i="7"/>
  <c r="AN76" i="8"/>
  <c r="AL11" i="13"/>
  <c r="AL12" i="13"/>
  <c r="AN11" i="15"/>
  <c r="AN12" i="15"/>
  <c r="M9" i="5"/>
  <c r="AH35" i="7"/>
  <c r="G35" i="5"/>
  <c r="AH42" i="7"/>
  <c r="G42" i="5"/>
  <c r="H44" i="7"/>
  <c r="E44" i="3"/>
  <c r="P44" i="7"/>
  <c r="M44" i="3"/>
  <c r="I38" i="6"/>
  <c r="AV38" i="7"/>
  <c r="O11" i="13"/>
  <c r="O12" i="13"/>
  <c r="L11" i="12"/>
  <c r="L12" i="12"/>
  <c r="O11" i="15"/>
  <c r="O12" i="15"/>
  <c r="O9" i="7"/>
  <c r="O11" i="16"/>
  <c r="O12" i="16"/>
  <c r="L9" i="3"/>
  <c r="O11" i="14"/>
  <c r="O12" i="14"/>
  <c r="AM45" i="7"/>
  <c r="L45" i="5"/>
  <c r="AM142" i="8"/>
  <c r="I70" i="1"/>
  <c r="AO37" i="7"/>
  <c r="N37" i="5"/>
  <c r="S11" i="16"/>
  <c r="S11" i="14"/>
  <c r="S12" i="14"/>
  <c r="S11" i="15"/>
  <c r="S12" i="15"/>
  <c r="S9" i="7"/>
  <c r="D9" i="4"/>
  <c r="AG11" i="13"/>
  <c r="AG12" i="13"/>
  <c r="AI11" i="16"/>
  <c r="AI11" i="15"/>
  <c r="AI12" i="15"/>
  <c r="H9" i="5"/>
  <c r="AI9" i="7"/>
  <c r="W11" i="15"/>
  <c r="W12" i="15"/>
  <c r="W11" i="16"/>
  <c r="W9" i="7"/>
  <c r="W11" i="14"/>
  <c r="W12" i="14"/>
  <c r="H9" i="4"/>
  <c r="E10" i="22"/>
  <c r="E12" i="22"/>
  <c r="F8" i="22"/>
  <c r="AY45" i="7"/>
  <c r="L45" i="6"/>
  <c r="AD42" i="7"/>
  <c r="C42" i="5"/>
  <c r="E15" i="11"/>
  <c r="G15" i="11"/>
  <c r="C16" i="12"/>
  <c r="P16" i="12"/>
  <c r="W13" i="13"/>
  <c r="W14" i="16"/>
  <c r="W14" i="13"/>
  <c r="M23" i="14"/>
  <c r="AI23" i="13"/>
  <c r="AS23" i="14"/>
  <c r="T24" i="15"/>
  <c r="T25" i="15"/>
  <c r="T24" i="14"/>
  <c r="T25" i="14"/>
  <c r="T24" i="16"/>
  <c r="AY28" i="13"/>
  <c r="AY29" i="13"/>
  <c r="BA28" i="14"/>
  <c r="BA29" i="14"/>
  <c r="BA28" i="16"/>
  <c r="J23" i="14"/>
  <c r="V23" i="15"/>
  <c r="AN23" i="13"/>
  <c r="AX23" i="14"/>
  <c r="P11" i="13"/>
  <c r="P12" i="13"/>
  <c r="P11" i="16"/>
  <c r="P12" i="16"/>
  <c r="M11" i="12"/>
  <c r="M12" i="12"/>
  <c r="P11" i="14"/>
  <c r="P12" i="14"/>
  <c r="P9" i="7"/>
  <c r="P11" i="15"/>
  <c r="P12" i="15"/>
  <c r="M9" i="3"/>
  <c r="E26" i="8"/>
  <c r="E34" i="8"/>
  <c r="E45" i="8"/>
  <c r="F34" i="8"/>
  <c r="F45" i="8"/>
  <c r="W39" i="7"/>
  <c r="H39" i="4"/>
  <c r="H38" i="7"/>
  <c r="E38" i="3"/>
  <c r="E46" i="3"/>
  <c r="M39" i="3"/>
  <c r="P39" i="7"/>
  <c r="C43" i="7"/>
  <c r="C43" i="2"/>
  <c r="L44" i="7"/>
  <c r="I44" i="3"/>
  <c r="F28" i="12"/>
  <c r="I29" i="16"/>
  <c r="F29" i="12"/>
  <c r="AE28" i="15"/>
  <c r="AE29" i="15"/>
  <c r="AE28" i="16"/>
  <c r="F167" i="8"/>
  <c r="F69" i="7"/>
  <c r="C69" i="3"/>
  <c r="E45" i="5"/>
  <c r="AF45" i="7"/>
  <c r="AY37" i="7"/>
  <c r="L37" i="6"/>
  <c r="X39" i="8"/>
  <c r="X42" i="8"/>
  <c r="X35" i="8"/>
  <c r="X46" i="8"/>
  <c r="E10" i="13"/>
  <c r="E53" i="13"/>
  <c r="K11" i="13"/>
  <c r="K12" i="13"/>
  <c r="K11" i="16"/>
  <c r="K12" i="16"/>
  <c r="K11" i="14"/>
  <c r="K12" i="14"/>
  <c r="H9" i="3"/>
  <c r="K9" i="7"/>
  <c r="K11" i="15"/>
  <c r="K12" i="15"/>
  <c r="H11" i="12"/>
  <c r="H12" i="12"/>
  <c r="X43" i="7"/>
  <c r="I43" i="4"/>
  <c r="D30" i="11"/>
  <c r="G30" i="11"/>
  <c r="G29" i="11"/>
  <c r="AX30" i="13"/>
  <c r="AX31" i="13"/>
  <c r="AZ30" i="16"/>
  <c r="AZ30" i="14"/>
  <c r="AZ31" i="14"/>
  <c r="I43" i="5"/>
  <c r="AJ43" i="7"/>
  <c r="AT32" i="13"/>
  <c r="AV32" i="14"/>
  <c r="I64" i="6"/>
  <c r="AV32" i="16"/>
  <c r="AV32" i="15"/>
  <c r="AV64" i="7"/>
  <c r="AZ29" i="7"/>
  <c r="AZ91" i="8"/>
  <c r="M29" i="6"/>
  <c r="I32" i="13"/>
  <c r="I32" i="15"/>
  <c r="F64" i="3"/>
  <c r="I32" i="14"/>
  <c r="I64" i="7"/>
  <c r="I32" i="16"/>
  <c r="F32" i="12"/>
  <c r="N113" i="8"/>
  <c r="AU24" i="13"/>
  <c r="AW24" i="16"/>
  <c r="AW24" i="14"/>
  <c r="AW25" i="14"/>
  <c r="AT24" i="15"/>
  <c r="AT25" i="16"/>
  <c r="AT25" i="15"/>
  <c r="AI45" i="7"/>
  <c r="H45" i="5"/>
  <c r="AI142" i="8"/>
  <c r="R37" i="7"/>
  <c r="C37" i="4"/>
  <c r="AI32" i="13"/>
  <c r="J64" i="5"/>
  <c r="AK32" i="16"/>
  <c r="AK32" i="14"/>
  <c r="AK64" i="7"/>
  <c r="AK32" i="15"/>
  <c r="E124" i="8"/>
  <c r="E125" i="8"/>
  <c r="E129" i="8"/>
  <c r="E130" i="8"/>
  <c r="E107" i="8"/>
  <c r="E108" i="8"/>
  <c r="E162" i="8"/>
  <c r="E163" i="8"/>
  <c r="E117" i="8"/>
  <c r="E118" i="8"/>
  <c r="E101" i="8"/>
  <c r="E102" i="8"/>
  <c r="E112" i="8"/>
  <c r="E113" i="8"/>
  <c r="E139" i="8"/>
  <c r="E140" i="8"/>
  <c r="M117" i="8"/>
  <c r="M134" i="8"/>
  <c r="M135" i="8"/>
  <c r="M112" i="8"/>
  <c r="M113" i="8"/>
  <c r="M139" i="8"/>
  <c r="M140" i="8"/>
  <c r="Q112" i="8"/>
  <c r="Q113" i="8"/>
  <c r="Q139" i="8"/>
  <c r="Q140" i="8"/>
  <c r="Q117" i="8"/>
  <c r="Q134" i="8"/>
  <c r="Q135" i="8"/>
  <c r="AC40" i="8"/>
  <c r="AC35" i="8"/>
  <c r="AC46" i="8"/>
  <c r="AS162" i="8"/>
  <c r="AS112" i="8"/>
  <c r="AS113" i="8"/>
  <c r="AS124" i="8"/>
  <c r="AS139" i="8"/>
  <c r="AS107" i="8"/>
  <c r="AS117" i="8"/>
  <c r="AS118" i="8"/>
  <c r="AW112" i="8"/>
  <c r="AW113" i="8"/>
  <c r="AW139" i="8"/>
  <c r="AW134" i="8"/>
  <c r="AW135" i="8"/>
  <c r="AW117" i="8"/>
  <c r="N24" i="13"/>
  <c r="N25" i="13"/>
  <c r="N24" i="14"/>
  <c r="N25" i="14"/>
  <c r="N24" i="15"/>
  <c r="N25" i="15"/>
  <c r="N24" i="16"/>
  <c r="AM24" i="14"/>
  <c r="AM25" i="16"/>
  <c r="AM25" i="14"/>
  <c r="P33" i="4"/>
  <c r="P33" i="6"/>
  <c r="G33" i="1"/>
  <c r="J35" i="7"/>
  <c r="G35" i="3"/>
  <c r="J8" i="4"/>
  <c r="J18" i="4"/>
  <c r="Y8" i="7"/>
  <c r="S142" i="8"/>
  <c r="S45" i="7"/>
  <c r="D45" i="4"/>
  <c r="E37" i="19"/>
  <c r="F33" i="19"/>
  <c r="F33" i="17"/>
  <c r="I33" i="23"/>
  <c r="Q23" i="16"/>
  <c r="N23" i="12"/>
  <c r="N22" i="12"/>
  <c r="P41" i="4"/>
  <c r="E41" i="1"/>
  <c r="N61" i="4"/>
  <c r="AM14" i="16"/>
  <c r="AM14" i="14"/>
  <c r="AM13" i="14"/>
  <c r="E23" i="13"/>
  <c r="M23" i="13"/>
  <c r="U23" i="14"/>
  <c r="AG23" i="15"/>
  <c r="AO23" i="15"/>
  <c r="AQ23" i="13"/>
  <c r="H24" i="13"/>
  <c r="H25" i="13"/>
  <c r="H24" i="14"/>
  <c r="H25" i="14"/>
  <c r="H24" i="16"/>
  <c r="H24" i="15"/>
  <c r="H25" i="15"/>
  <c r="X24" i="14"/>
  <c r="X25" i="14"/>
  <c r="X24" i="15"/>
  <c r="X25" i="15"/>
  <c r="X24" i="16"/>
  <c r="R30" i="14"/>
  <c r="R31" i="14"/>
  <c r="R30" i="15"/>
  <c r="R31" i="15"/>
  <c r="R30" i="16"/>
  <c r="H33" i="21"/>
  <c r="G37" i="21"/>
  <c r="AH22" i="14"/>
  <c r="AH23" i="16"/>
  <c r="AH23" i="14"/>
  <c r="F53" i="3"/>
  <c r="P56" i="4"/>
  <c r="C61" i="4"/>
  <c r="P56" i="6"/>
  <c r="C61" i="6"/>
  <c r="T13" i="13"/>
  <c r="T14" i="16"/>
  <c r="T14" i="13"/>
  <c r="F23" i="15"/>
  <c r="J23" i="13"/>
  <c r="R23" i="15"/>
  <c r="V23" i="14"/>
  <c r="AD23" i="15"/>
  <c r="AL23" i="15"/>
  <c r="AT22" i="15"/>
  <c r="AT23" i="16"/>
  <c r="AT23" i="15"/>
  <c r="AV23" i="13"/>
  <c r="F15" i="22"/>
  <c r="E18" i="22"/>
  <c r="F15" i="18"/>
  <c r="C15" i="17"/>
  <c r="D53" i="3"/>
  <c r="P49" i="3"/>
  <c r="P51" i="4"/>
  <c r="E51" i="1"/>
  <c r="I51" i="1"/>
  <c r="D61" i="6"/>
  <c r="I53" i="8"/>
  <c r="T11" i="16"/>
  <c r="T11" i="15"/>
  <c r="T12" i="15"/>
  <c r="T9" i="7"/>
  <c r="T11" i="14"/>
  <c r="T12" i="14"/>
  <c r="E9" i="4"/>
  <c r="AJ11" i="16"/>
  <c r="AH11" i="13"/>
  <c r="AH12" i="13"/>
  <c r="AJ11" i="15"/>
  <c r="AJ12" i="15"/>
  <c r="AJ9" i="7"/>
  <c r="I9" i="5"/>
  <c r="AZ11" i="16"/>
  <c r="AX11" i="13"/>
  <c r="AX12" i="13"/>
  <c r="AZ9" i="7"/>
  <c r="AZ11" i="14"/>
  <c r="AZ12" i="14"/>
  <c r="M9" i="6"/>
  <c r="K35" i="8"/>
  <c r="K46" i="8"/>
  <c r="K39" i="8"/>
  <c r="K42" i="8"/>
  <c r="S35" i="8"/>
  <c r="S46" i="8"/>
  <c r="S76" i="8"/>
  <c r="S39" i="8"/>
  <c r="S42" i="8"/>
  <c r="AA35" i="8"/>
  <c r="AA46" i="8"/>
  <c r="AA39" i="8"/>
  <c r="AA42" i="8"/>
  <c r="AI35" i="8"/>
  <c r="AI46" i="8"/>
  <c r="AI76" i="8"/>
  <c r="AI39" i="8"/>
  <c r="AI42" i="8"/>
  <c r="AQ35" i="8"/>
  <c r="AQ39" i="8"/>
  <c r="AQ42" i="8"/>
  <c r="AY35" i="8"/>
  <c r="AY46" i="8"/>
  <c r="AY39" i="8"/>
  <c r="AY42" i="8"/>
  <c r="AG8" i="7"/>
  <c r="F8" i="5"/>
  <c r="F40" i="8"/>
  <c r="E40" i="8"/>
  <c r="E42" i="8"/>
  <c r="F35" i="8"/>
  <c r="F46" i="8"/>
  <c r="N40" i="8"/>
  <c r="N35" i="8"/>
  <c r="N46" i="8"/>
  <c r="V40" i="8"/>
  <c r="V35" i="8"/>
  <c r="V46" i="8"/>
  <c r="AD40" i="8"/>
  <c r="AD35" i="8"/>
  <c r="AD46" i="8"/>
  <c r="AL40" i="8"/>
  <c r="AL35" i="8"/>
  <c r="AL46" i="8"/>
  <c r="AT40" i="8"/>
  <c r="AT35" i="8"/>
  <c r="AT46" i="8"/>
  <c r="Q101" i="8"/>
  <c r="Q102" i="8"/>
  <c r="Q124" i="8"/>
  <c r="AH118" i="8"/>
  <c r="AE39" i="7"/>
  <c r="D39" i="5"/>
  <c r="AM39" i="7"/>
  <c r="L39" i="5"/>
  <c r="P38" i="7"/>
  <c r="M38" i="3"/>
  <c r="X39" i="7"/>
  <c r="I39" i="4"/>
  <c r="L42" i="4"/>
  <c r="AA42" i="7"/>
  <c r="S43" i="7"/>
  <c r="D43" i="4"/>
  <c r="X44" i="7"/>
  <c r="I44" i="4"/>
  <c r="L45" i="7"/>
  <c r="L142" i="8"/>
  <c r="I45" i="3"/>
  <c r="AR45" i="7"/>
  <c r="E45" i="6"/>
  <c r="G28" i="13"/>
  <c r="G29" i="13"/>
  <c r="G28" i="14"/>
  <c r="G29" i="14"/>
  <c r="G28" i="15"/>
  <c r="G29" i="15"/>
  <c r="G28" i="16"/>
  <c r="AM28" i="15"/>
  <c r="AM29" i="15"/>
  <c r="AK28" i="13"/>
  <c r="AK29" i="13"/>
  <c r="AM28" i="16"/>
  <c r="AL30" i="14"/>
  <c r="AL31" i="16"/>
  <c r="P50" i="6"/>
  <c r="G50" i="1"/>
  <c r="F43" i="3"/>
  <c r="I43" i="7"/>
  <c r="I45" i="6"/>
  <c r="AV45" i="7"/>
  <c r="L53" i="4"/>
  <c r="AQ53" i="7"/>
  <c r="P50" i="3"/>
  <c r="D50" i="1"/>
  <c r="AI28" i="14"/>
  <c r="AI29" i="16"/>
  <c r="AI29" i="14"/>
  <c r="AF61" i="7"/>
  <c r="AN61" i="7"/>
  <c r="E61" i="6"/>
  <c r="P70" i="6"/>
  <c r="G70" i="1"/>
  <c r="AQ66" i="8"/>
  <c r="AQ90" i="8"/>
  <c r="AQ98" i="8"/>
  <c r="AQ106" i="8"/>
  <c r="AQ112" i="8"/>
  <c r="AQ128" i="8"/>
  <c r="AQ130" i="8"/>
  <c r="AQ161" i="8"/>
  <c r="AQ163" i="8"/>
  <c r="AQ133" i="8"/>
  <c r="AQ139" i="8"/>
  <c r="AQ111" i="8"/>
  <c r="AQ113" i="8"/>
  <c r="AQ117" i="8"/>
  <c r="AQ129" i="8"/>
  <c r="AQ124" i="8"/>
  <c r="AQ46" i="8"/>
  <c r="AQ99" i="8"/>
  <c r="AQ101" i="8"/>
  <c r="AQ102" i="8"/>
  <c r="AQ116" i="8"/>
  <c r="AQ123" i="8"/>
  <c r="AQ125" i="8"/>
  <c r="AQ162" i="8"/>
  <c r="AQ107" i="8"/>
  <c r="AQ138" i="8"/>
  <c r="AQ140" i="8"/>
  <c r="AQ40" i="8"/>
  <c r="AU39" i="7"/>
  <c r="H39" i="6"/>
  <c r="AU37" i="7"/>
  <c r="H37" i="6"/>
  <c r="AW32" i="13"/>
  <c r="AY32" i="14"/>
  <c r="AY32" i="16"/>
  <c r="AY32" i="15"/>
  <c r="L64" i="6"/>
  <c r="AY64" i="7"/>
  <c r="L39" i="8"/>
  <c r="L42" i="8"/>
  <c r="L35" i="8"/>
  <c r="L46" i="8"/>
  <c r="AB39" i="8"/>
  <c r="AB42" i="8"/>
  <c r="AB35" i="8"/>
  <c r="AB46" i="8"/>
  <c r="AR39" i="8"/>
  <c r="AR42" i="8"/>
  <c r="AR35" i="8"/>
  <c r="AR46" i="8"/>
  <c r="R35" i="8"/>
  <c r="R46" i="8"/>
  <c r="AX35" i="8"/>
  <c r="AX46" i="8"/>
  <c r="U41" i="8"/>
  <c r="U42" i="8"/>
  <c r="U35" i="8"/>
  <c r="U46" i="8"/>
  <c r="BA41" i="8"/>
  <c r="BA35" i="8"/>
  <c r="BA46" i="8"/>
  <c r="M107" i="8"/>
  <c r="M108" i="8"/>
  <c r="AD118" i="8"/>
  <c r="AW101" i="8"/>
  <c r="AW102" i="8"/>
  <c r="AW140" i="8"/>
  <c r="E10" i="11"/>
  <c r="C11" i="12"/>
  <c r="F11" i="14"/>
  <c r="F12" i="14"/>
  <c r="F11" i="15"/>
  <c r="F12" i="15"/>
  <c r="F11" i="16"/>
  <c r="F12" i="16"/>
  <c r="C9" i="3"/>
  <c r="F11" i="13"/>
  <c r="F12" i="13"/>
  <c r="F9" i="7"/>
  <c r="F76" i="8"/>
  <c r="AJ11" i="13"/>
  <c r="AJ12" i="13"/>
  <c r="AL11" i="15"/>
  <c r="AL12" i="15"/>
  <c r="AL11" i="16"/>
  <c r="K9" i="5"/>
  <c r="AL76" i="8"/>
  <c r="AL9" i="7"/>
  <c r="AP134" i="8"/>
  <c r="AP74" i="8"/>
  <c r="AP69" i="8"/>
  <c r="S24" i="13"/>
  <c r="S25" i="16"/>
  <c r="S25" i="13"/>
  <c r="AI35" i="7"/>
  <c r="H35" i="5"/>
  <c r="H32" i="13"/>
  <c r="H32" i="14"/>
  <c r="H32" i="15"/>
  <c r="H32" i="16"/>
  <c r="E32" i="12"/>
  <c r="E64" i="3"/>
  <c r="H64" i="7"/>
  <c r="X37" i="7"/>
  <c r="I37" i="4"/>
  <c r="I46" i="4"/>
  <c r="I113" i="8"/>
  <c r="AX112" i="8"/>
  <c r="AI42" i="7"/>
  <c r="H42" i="5"/>
  <c r="F28" i="13"/>
  <c r="F29" i="13"/>
  <c r="F28" i="14"/>
  <c r="F29" i="14"/>
  <c r="F28" i="15"/>
  <c r="F29" i="15"/>
  <c r="F28" i="16"/>
  <c r="R28" i="14"/>
  <c r="R29" i="14"/>
  <c r="R28" i="15"/>
  <c r="R29" i="15"/>
  <c r="R28" i="16"/>
  <c r="G53" i="4"/>
  <c r="AD28" i="15"/>
  <c r="AD29" i="15"/>
  <c r="AD28" i="16"/>
  <c r="AN28" i="13"/>
  <c r="AN29" i="13"/>
  <c r="AP28" i="14"/>
  <c r="AP29" i="14"/>
  <c r="AP28" i="16"/>
  <c r="G53" i="6"/>
  <c r="P58" i="4"/>
  <c r="E58" i="1"/>
  <c r="AJ38" i="7"/>
  <c r="I38" i="5"/>
  <c r="AN37" i="7"/>
  <c r="M37" i="5"/>
  <c r="AN38" i="7"/>
  <c r="M38" i="5"/>
  <c r="AR37" i="7"/>
  <c r="E37" i="6"/>
  <c r="E43" i="6"/>
  <c r="AR43" i="7"/>
  <c r="E42" i="6"/>
  <c r="AR42" i="7"/>
  <c r="E27" i="8"/>
  <c r="E33" i="8"/>
  <c r="E44" i="8"/>
  <c r="C23" i="14"/>
  <c r="G23" i="15"/>
  <c r="K23" i="15"/>
  <c r="O23" i="15"/>
  <c r="S23" i="15"/>
  <c r="W23" i="14"/>
  <c r="AA22" i="13"/>
  <c r="AA23" i="16"/>
  <c r="AA23" i="13"/>
  <c r="AI23" i="15"/>
  <c r="AM22" i="14"/>
  <c r="AM23" i="16"/>
  <c r="AM23" i="14"/>
  <c r="AS23" i="13"/>
  <c r="AY22" i="15"/>
  <c r="AY23" i="16"/>
  <c r="AY23" i="15"/>
  <c r="S44" i="7"/>
  <c r="D44" i="4"/>
  <c r="AA44" i="7"/>
  <c r="L44" i="4"/>
  <c r="AI44" i="7"/>
  <c r="H44" i="5"/>
  <c r="I39" i="5"/>
  <c r="AJ39" i="7"/>
  <c r="I45" i="4"/>
  <c r="X142" i="8"/>
  <c r="X45" i="7"/>
  <c r="L53" i="6"/>
  <c r="BA31" i="16"/>
  <c r="BA30" i="15"/>
  <c r="E53" i="4"/>
  <c r="C29" i="4"/>
  <c r="R91" i="8"/>
  <c r="R29" i="7"/>
  <c r="V129" i="8"/>
  <c r="V101" i="8"/>
  <c r="V102" i="8"/>
  <c r="AO45" i="7"/>
  <c r="N45" i="5"/>
  <c r="BA35" i="7"/>
  <c r="N35" i="6"/>
  <c r="C69" i="1"/>
  <c r="G72" i="2"/>
  <c r="O35" i="7"/>
  <c r="L35" i="3"/>
  <c r="N42" i="8"/>
  <c r="AT42" i="8"/>
  <c r="L37" i="7"/>
  <c r="I37" i="3"/>
  <c r="I46" i="3"/>
  <c r="T38" i="7"/>
  <c r="E38" i="4"/>
  <c r="AB32" i="15"/>
  <c r="AB32" i="16"/>
  <c r="AB32" i="13"/>
  <c r="M64" i="4"/>
  <c r="AB32" i="14"/>
  <c r="AB64" i="7"/>
  <c r="K53" i="3"/>
  <c r="J107" i="8"/>
  <c r="AS129" i="8"/>
  <c r="AS130" i="8"/>
  <c r="AC130" i="8"/>
  <c r="D23" i="16"/>
  <c r="L23" i="15"/>
  <c r="T23" i="15"/>
  <c r="AB22" i="13"/>
  <c r="AB23" i="16"/>
  <c r="AB23" i="13"/>
  <c r="AR23" i="14"/>
  <c r="AZ23" i="16"/>
  <c r="AZ23" i="15"/>
  <c r="AZ22" i="15"/>
  <c r="E16" i="18"/>
  <c r="U22" i="13"/>
  <c r="U23" i="16"/>
  <c r="U23" i="13"/>
  <c r="R22" i="13"/>
  <c r="R23" i="16"/>
  <c r="R23" i="13"/>
  <c r="F23" i="13"/>
  <c r="AL22" i="14"/>
  <c r="AL23" i="16"/>
  <c r="AL23" i="14"/>
  <c r="AF11" i="16"/>
  <c r="AD11" i="13"/>
  <c r="AD12" i="13"/>
  <c r="AF9" i="7"/>
  <c r="AF11" i="15"/>
  <c r="AF12" i="15"/>
  <c r="E9" i="5"/>
  <c r="Q37" i="7"/>
  <c r="N37" i="3"/>
  <c r="AT113" i="8"/>
  <c r="I37" i="7"/>
  <c r="F37" i="3"/>
  <c r="I39" i="6"/>
  <c r="AV39" i="7"/>
  <c r="I45" i="5"/>
  <c r="AJ45" i="7"/>
  <c r="V30" i="13"/>
  <c r="V31" i="16"/>
  <c r="F30" i="12"/>
  <c r="I31" i="16"/>
  <c r="K30" i="25"/>
  <c r="J31" i="25"/>
  <c r="D42" i="4"/>
  <c r="S42" i="7"/>
  <c r="AC30" i="13"/>
  <c r="AC31" i="16"/>
  <c r="AU74" i="8"/>
  <c r="AU134" i="8"/>
  <c r="J8" i="7"/>
  <c r="G8" i="3"/>
  <c r="AS41" i="8"/>
  <c r="AS42" i="8"/>
  <c r="AS35" i="8"/>
  <c r="AS46" i="8"/>
  <c r="AW37" i="7"/>
  <c r="J37" i="6"/>
  <c r="P58" i="6"/>
  <c r="G58" i="1"/>
  <c r="E10" i="18"/>
  <c r="C8" i="17"/>
  <c r="E12" i="18"/>
  <c r="F8" i="18"/>
  <c r="N23" i="13"/>
  <c r="AG23" i="16"/>
  <c r="AG23" i="14"/>
  <c r="AG22" i="14"/>
  <c r="P36" i="3"/>
  <c r="D36" i="1"/>
  <c r="P36" i="5"/>
  <c r="F36" i="1"/>
  <c r="AI14" i="16"/>
  <c r="AI14" i="14"/>
  <c r="AI13" i="14"/>
  <c r="BA23" i="16"/>
  <c r="BA23" i="15"/>
  <c r="BA22" i="15"/>
  <c r="U28" i="14"/>
  <c r="U29" i="14"/>
  <c r="U28" i="15"/>
  <c r="U29" i="15"/>
  <c r="U28" i="16"/>
  <c r="G61" i="4"/>
  <c r="F23" i="14"/>
  <c r="R23" i="14"/>
  <c r="AJ23" i="13"/>
  <c r="P59" i="3"/>
  <c r="D59" i="1"/>
  <c r="I59" i="1"/>
  <c r="P41" i="6"/>
  <c r="G41" i="1"/>
  <c r="L61" i="6"/>
  <c r="F107" i="8"/>
  <c r="F112" i="8"/>
  <c r="F134" i="8"/>
  <c r="F135" i="8"/>
  <c r="F162" i="8"/>
  <c r="F117" i="8"/>
  <c r="F124" i="8"/>
  <c r="J129" i="8"/>
  <c r="J130" i="8"/>
  <c r="J124" i="8"/>
  <c r="J125" i="8"/>
  <c r="J162" i="8"/>
  <c r="J163" i="8"/>
  <c r="J112" i="8"/>
  <c r="J139" i="8"/>
  <c r="J140" i="8"/>
  <c r="N162" i="8"/>
  <c r="N163" i="8"/>
  <c r="N107" i="8"/>
  <c r="N108" i="8"/>
  <c r="N112" i="8"/>
  <c r="N101" i="8"/>
  <c r="N102" i="8"/>
  <c r="N139" i="8"/>
  <c r="N117" i="8"/>
  <c r="R129" i="8"/>
  <c r="R117" i="8"/>
  <c r="R118" i="8"/>
  <c r="R162" i="8"/>
  <c r="R112" i="8"/>
  <c r="R124" i="8"/>
  <c r="R139" i="8"/>
  <c r="R140" i="8"/>
  <c r="V107" i="8"/>
  <c r="V108" i="8"/>
  <c r="V112" i="8"/>
  <c r="V117" i="8"/>
  <c r="V139" i="8"/>
  <c r="V162" i="8"/>
  <c r="Z129" i="8"/>
  <c r="Z112" i="8"/>
  <c r="Z117" i="8"/>
  <c r="Z118" i="8"/>
  <c r="Z124" i="8"/>
  <c r="Z125" i="8"/>
  <c r="Z162" i="8"/>
  <c r="Z101" i="8"/>
  <c r="Z102" i="8"/>
  <c r="AD129" i="8"/>
  <c r="AD130" i="8"/>
  <c r="AD134" i="8"/>
  <c r="AD162" i="8"/>
  <c r="AD163" i="8"/>
  <c r="AD112" i="8"/>
  <c r="AD107" i="8"/>
  <c r="AD108" i="8"/>
  <c r="AD101" i="8"/>
  <c r="AD102" i="8"/>
  <c r="AH162" i="8"/>
  <c r="AH163" i="8"/>
  <c r="AH107" i="8"/>
  <c r="AH108" i="8"/>
  <c r="AH112" i="8"/>
  <c r="AH113" i="8"/>
  <c r="AH129" i="8"/>
  <c r="AH130" i="8"/>
  <c r="AH134" i="8"/>
  <c r="AL124" i="8"/>
  <c r="AL162" i="8"/>
  <c r="AL163" i="8"/>
  <c r="AL112" i="8"/>
  <c r="AL107" i="8"/>
  <c r="AL139" i="8"/>
  <c r="AL140" i="8"/>
  <c r="AP129" i="8"/>
  <c r="AP130" i="8"/>
  <c r="AP124" i="8"/>
  <c r="AT129" i="8"/>
  <c r="AT130" i="8"/>
  <c r="AT162" i="8"/>
  <c r="AT163" i="8"/>
  <c r="AT107" i="8"/>
  <c r="AT108" i="8"/>
  <c r="AT112" i="8"/>
  <c r="AT101" i="8"/>
  <c r="AT102" i="8"/>
  <c r="AT134" i="8"/>
  <c r="AX129" i="8"/>
  <c r="AX130" i="8"/>
  <c r="AX117" i="8"/>
  <c r="AX139" i="8"/>
  <c r="C31" i="8"/>
  <c r="C30" i="8"/>
  <c r="Q162" i="8"/>
  <c r="Q163" i="8"/>
  <c r="Q8" i="7"/>
  <c r="N8" i="3"/>
  <c r="Q118" i="8"/>
  <c r="AH139" i="8"/>
  <c r="AT124" i="8"/>
  <c r="AT125" i="8"/>
  <c r="AT135" i="8"/>
  <c r="AH24" i="14"/>
  <c r="AH25" i="16"/>
  <c r="AH25" i="14"/>
  <c r="AP101" i="8"/>
  <c r="AP102" i="8"/>
  <c r="W44" i="7"/>
  <c r="H44" i="4"/>
  <c r="AE44" i="7"/>
  <c r="D44" i="5"/>
  <c r="AM44" i="7"/>
  <c r="L44" i="5"/>
  <c r="AF113" i="8"/>
  <c r="C39" i="7"/>
  <c r="C39" i="2"/>
  <c r="E39" i="5"/>
  <c r="AF39" i="7"/>
  <c r="AA43" i="7"/>
  <c r="L43" i="4"/>
  <c r="T45" i="7"/>
  <c r="E45" i="4"/>
  <c r="T142" i="8"/>
  <c r="M45" i="6"/>
  <c r="AZ45" i="7"/>
  <c r="Y28" i="13"/>
  <c r="Y29" i="16"/>
  <c r="Y29" i="13"/>
  <c r="AO29" i="16"/>
  <c r="AO29" i="14"/>
  <c r="AO28" i="14"/>
  <c r="O28" i="13"/>
  <c r="O29" i="13"/>
  <c r="O28" i="14"/>
  <c r="O29" i="14"/>
  <c r="O28" i="15"/>
  <c r="O29" i="15"/>
  <c r="O28" i="16"/>
  <c r="AU28" i="14"/>
  <c r="AU29" i="14"/>
  <c r="AU28" i="16"/>
  <c r="AS28" i="13"/>
  <c r="AS29" i="13"/>
  <c r="AD30" i="14"/>
  <c r="AD31" i="16"/>
  <c r="Y31" i="16"/>
  <c r="Y30" i="13"/>
  <c r="AP162" i="8"/>
  <c r="AP163" i="8"/>
  <c r="AO23" i="13"/>
  <c r="P40" i="4"/>
  <c r="E40" i="1"/>
  <c r="P40" i="6"/>
  <c r="G40" i="1"/>
  <c r="C42" i="7"/>
  <c r="C42" i="2"/>
  <c r="C142" i="8"/>
  <c r="C45" i="7"/>
  <c r="C45" i="2"/>
  <c r="AA53" i="7"/>
  <c r="H53" i="6"/>
  <c r="AA28" i="13"/>
  <c r="AA29" i="16"/>
  <c r="AA29" i="13"/>
  <c r="U30" i="13"/>
  <c r="U31" i="16"/>
  <c r="AS31" i="16"/>
  <c r="AS30" i="15"/>
  <c r="K29" i="24"/>
  <c r="J30" i="24"/>
  <c r="H61" i="4"/>
  <c r="D53" i="5"/>
  <c r="P51" i="6"/>
  <c r="G51" i="1"/>
  <c r="AU135" i="8"/>
  <c r="AU32" i="14"/>
  <c r="AS32" i="13"/>
  <c r="AU32" i="16"/>
  <c r="AU32" i="15"/>
  <c r="H64" i="6"/>
  <c r="AU64" i="7"/>
  <c r="AU35" i="7"/>
  <c r="H35" i="6"/>
  <c r="L38" i="6"/>
  <c r="AY38" i="7"/>
  <c r="AY43" i="7"/>
  <c r="L43" i="6"/>
  <c r="AY29" i="7"/>
  <c r="AY91" i="8"/>
  <c r="L29" i="6"/>
  <c r="P39" i="8"/>
  <c r="P42" i="8"/>
  <c r="P35" i="8"/>
  <c r="P46" i="8"/>
  <c r="P76" i="8"/>
  <c r="AF39" i="8"/>
  <c r="AF42" i="8"/>
  <c r="AF35" i="8"/>
  <c r="AF46" i="8"/>
  <c r="AV39" i="8"/>
  <c r="AV42" i="8"/>
  <c r="AV35" i="8"/>
  <c r="AV46" i="8"/>
  <c r="Z35" i="8"/>
  <c r="Z46" i="8"/>
  <c r="M101" i="8"/>
  <c r="M102" i="8"/>
  <c r="M124" i="8"/>
  <c r="M125" i="8"/>
  <c r="AD113" i="8"/>
  <c r="AW124" i="8"/>
  <c r="AW125" i="8"/>
  <c r="E10" i="15"/>
  <c r="E53" i="15"/>
  <c r="N69" i="8"/>
  <c r="AR11" i="13"/>
  <c r="AR12" i="13"/>
  <c r="AT11" i="14"/>
  <c r="AT12" i="14"/>
  <c r="AT11" i="16"/>
  <c r="G9" i="6"/>
  <c r="AT9" i="7"/>
  <c r="AX134" i="8"/>
  <c r="AX74" i="8"/>
  <c r="N24" i="12"/>
  <c r="Q25" i="16"/>
  <c r="N25" i="12"/>
  <c r="AY35" i="7"/>
  <c r="L35" i="6"/>
  <c r="E43" i="3"/>
  <c r="H43" i="7"/>
  <c r="P32" i="13"/>
  <c r="P32" i="14"/>
  <c r="P32" i="15"/>
  <c r="P32" i="16"/>
  <c r="M32" i="12"/>
  <c r="M64" i="3"/>
  <c r="P64" i="7"/>
  <c r="I38" i="4"/>
  <c r="X38" i="7"/>
  <c r="S39" i="7"/>
  <c r="D39" i="4"/>
  <c r="AJ135" i="8"/>
  <c r="P51" i="5"/>
  <c r="F51" i="1"/>
  <c r="E28" i="12"/>
  <c r="H29" i="16"/>
  <c r="E29" i="12"/>
  <c r="X28" i="13"/>
  <c r="X29" i="16"/>
  <c r="X29" i="13"/>
  <c r="AF28" i="14"/>
  <c r="AF29" i="16"/>
  <c r="AF29" i="14"/>
  <c r="G30" i="13"/>
  <c r="G31" i="13"/>
  <c r="G30" i="14"/>
  <c r="G31" i="14"/>
  <c r="G30" i="15"/>
  <c r="G31" i="15"/>
  <c r="G30" i="16"/>
  <c r="AE30" i="15"/>
  <c r="AE31" i="15"/>
  <c r="AE30" i="16"/>
  <c r="H61" i="5"/>
  <c r="AQ30" i="14"/>
  <c r="AQ31" i="14"/>
  <c r="AO30" i="13"/>
  <c r="AO31" i="13"/>
  <c r="AQ30" i="16"/>
  <c r="D61" i="4"/>
  <c r="P60" i="3"/>
  <c r="D60" i="1"/>
  <c r="AB30" i="16"/>
  <c r="AB30" i="15"/>
  <c r="AB31" i="15"/>
  <c r="AB30" i="14"/>
  <c r="AB31" i="14"/>
  <c r="C32" i="13"/>
  <c r="C32" i="14"/>
  <c r="C32" i="15"/>
  <c r="C31" i="11"/>
  <c r="C32" i="16"/>
  <c r="C64" i="7"/>
  <c r="C64" i="2"/>
  <c r="P71" i="6"/>
  <c r="G71" i="1"/>
  <c r="AD32" i="13"/>
  <c r="AF32" i="15"/>
  <c r="AF32" i="16"/>
  <c r="AF32" i="14"/>
  <c r="AF64" i="7"/>
  <c r="E64" i="5"/>
  <c r="AF29" i="7"/>
  <c r="AF91" i="8"/>
  <c r="E29" i="5"/>
  <c r="AJ29" i="7"/>
  <c r="AJ91" i="8"/>
  <c r="I29" i="5"/>
  <c r="I35" i="5"/>
  <c r="AJ35" i="7"/>
  <c r="AV37" i="7"/>
  <c r="I37" i="6"/>
  <c r="AZ37" i="7"/>
  <c r="M37" i="6"/>
  <c r="AZ43" i="7"/>
  <c r="M43" i="6"/>
  <c r="M42" i="6"/>
  <c r="AZ42" i="7"/>
  <c r="BA42" i="8"/>
  <c r="N124" i="8"/>
  <c r="N125" i="8"/>
  <c r="AP140" i="8"/>
  <c r="AX135" i="8"/>
  <c r="M24" i="16"/>
  <c r="M24" i="13"/>
  <c r="M25" i="13"/>
  <c r="M24" i="14"/>
  <c r="M25" i="14"/>
  <c r="M24" i="15"/>
  <c r="AD24" i="14"/>
  <c r="AD25" i="16"/>
  <c r="AD25" i="14"/>
  <c r="P34" i="4"/>
  <c r="E34" i="1"/>
  <c r="P34" i="6"/>
  <c r="G34" i="1"/>
  <c r="F139" i="8"/>
  <c r="Z107" i="8"/>
  <c r="Z108" i="8"/>
  <c r="AO38" i="7"/>
  <c r="N38" i="5"/>
  <c r="F43" i="5"/>
  <c r="AG43" i="7"/>
  <c r="AX69" i="8"/>
  <c r="Y118" i="8"/>
  <c r="D8" i="7"/>
  <c r="D8" i="2"/>
  <c r="H23" i="14"/>
  <c r="P23" i="14"/>
  <c r="X23" i="14"/>
  <c r="AF23" i="16"/>
  <c r="AF23" i="14"/>
  <c r="AF22" i="14"/>
  <c r="AT23" i="13"/>
  <c r="AJ30" i="14"/>
  <c r="AJ31" i="16"/>
  <c r="K38" i="7"/>
  <c r="H38" i="3"/>
  <c r="K32" i="13"/>
  <c r="K32" i="14"/>
  <c r="K32" i="15"/>
  <c r="K32" i="16"/>
  <c r="H32" i="12"/>
  <c r="K64" i="7"/>
  <c r="H64" i="3"/>
  <c r="O39" i="7"/>
  <c r="L39" i="3"/>
  <c r="O130" i="8"/>
  <c r="O29" i="7"/>
  <c r="L29" i="3"/>
  <c r="O91" i="8"/>
  <c r="O42" i="7"/>
  <c r="L42" i="3"/>
  <c r="L29" i="16"/>
  <c r="I29" i="12"/>
  <c r="I28" i="12"/>
  <c r="AR28" i="15"/>
  <c r="AR29" i="16"/>
  <c r="AR29" i="15"/>
  <c r="AF30" i="14"/>
  <c r="AF31" i="16"/>
  <c r="AC163" i="8"/>
  <c r="AL125" i="8"/>
  <c r="U13" i="14"/>
  <c r="U13" i="15"/>
  <c r="U13" i="16"/>
  <c r="U17" i="7"/>
  <c r="F17" i="4"/>
  <c r="E16" i="19"/>
  <c r="E15" i="21"/>
  <c r="E12" i="21"/>
  <c r="F8" i="21"/>
  <c r="E10" i="21"/>
  <c r="G16" i="19"/>
  <c r="H16" i="23"/>
  <c r="X13" i="13"/>
  <c r="X14" i="16"/>
  <c r="X14" i="13"/>
  <c r="E22" i="11"/>
  <c r="AC23" i="14"/>
  <c r="AY23" i="13"/>
  <c r="N23" i="14"/>
  <c r="AD22" i="14"/>
  <c r="AD23" i="16"/>
  <c r="AD23" i="14"/>
  <c r="F15" i="19"/>
  <c r="G15" i="23"/>
  <c r="AV11" i="16"/>
  <c r="AT11" i="13"/>
  <c r="AT12" i="13"/>
  <c r="AV11" i="14"/>
  <c r="AV12" i="14"/>
  <c r="AV9" i="7"/>
  <c r="I9" i="6"/>
  <c r="AA35" i="7"/>
  <c r="L35" i="4"/>
  <c r="D45" i="5"/>
  <c r="AE142" i="8"/>
  <c r="AE45" i="7"/>
  <c r="AZ38" i="7"/>
  <c r="M38" i="6"/>
  <c r="AX125" i="8"/>
  <c r="E44" i="7"/>
  <c r="E44" i="2"/>
  <c r="AP30" i="15"/>
  <c r="AP31" i="16"/>
  <c r="AG31" i="16"/>
  <c r="AG30" i="14"/>
  <c r="S53" i="7"/>
  <c r="AQ28" i="15"/>
  <c r="AQ29" i="16"/>
  <c r="AQ29" i="15"/>
  <c r="H45" i="6"/>
  <c r="AU45" i="7"/>
  <c r="H39" i="8"/>
  <c r="H42" i="8"/>
  <c r="H35" i="8"/>
  <c r="H46" i="8"/>
  <c r="AN39" i="8"/>
  <c r="AN42" i="8"/>
  <c r="AN35" i="8"/>
  <c r="AN46" i="8"/>
  <c r="M41" i="8"/>
  <c r="M42" i="8"/>
  <c r="M35" i="8"/>
  <c r="M46" i="8"/>
  <c r="M43" i="7"/>
  <c r="J43" i="3"/>
  <c r="AD135" i="8"/>
  <c r="E10" i="16"/>
  <c r="E53" i="16"/>
  <c r="AD11" i="15"/>
  <c r="AD12" i="15"/>
  <c r="AD11" i="16"/>
  <c r="C9" i="5"/>
  <c r="AD9" i="7"/>
  <c r="N134" i="8"/>
  <c r="N74" i="8"/>
  <c r="AA11" i="16"/>
  <c r="AA11" i="14"/>
  <c r="AA12" i="14"/>
  <c r="AA11" i="15"/>
  <c r="AA12" i="15"/>
  <c r="AA9" i="7"/>
  <c r="L9" i="4"/>
  <c r="AA76" i="8"/>
  <c r="AA24" i="13"/>
  <c r="AA25" i="16"/>
  <c r="AA25" i="13"/>
  <c r="W35" i="7"/>
  <c r="W46" i="7"/>
  <c r="H35" i="4"/>
  <c r="P37" i="7"/>
  <c r="P46" i="7"/>
  <c r="M37" i="3"/>
  <c r="AM46" i="7"/>
  <c r="AN28" i="14"/>
  <c r="AN29" i="16"/>
  <c r="AN29" i="14"/>
  <c r="AI30" i="15"/>
  <c r="AI31" i="15"/>
  <c r="AG30" i="13"/>
  <c r="AG31" i="13"/>
  <c r="AI30" i="16"/>
  <c r="AY30" i="14"/>
  <c r="AY31" i="14"/>
  <c r="AW30" i="13"/>
  <c r="AW31" i="13"/>
  <c r="AY30" i="16"/>
  <c r="AA32" i="14"/>
  <c r="AA32" i="15"/>
  <c r="AA32" i="16"/>
  <c r="AA32" i="13"/>
  <c r="L64" i="4"/>
  <c r="AA64" i="7"/>
  <c r="AF37" i="7"/>
  <c r="E37" i="5"/>
  <c r="AJ37" i="7"/>
  <c r="I37" i="5"/>
  <c r="AJ42" i="7"/>
  <c r="I42" i="5"/>
  <c r="AV29" i="7"/>
  <c r="AV91" i="8"/>
  <c r="I29" i="6"/>
  <c r="AZ35" i="7"/>
  <c r="M35" i="6"/>
  <c r="I42" i="7"/>
  <c r="F42" i="3"/>
  <c r="N118" i="8"/>
  <c r="F108" i="8"/>
  <c r="F37" i="18"/>
  <c r="G33" i="18"/>
  <c r="F15" i="20"/>
  <c r="E18" i="20"/>
  <c r="E10" i="20"/>
  <c r="E12" i="20"/>
  <c r="F8" i="20"/>
  <c r="G33" i="20"/>
  <c r="F37" i="20"/>
  <c r="E29" i="24"/>
  <c r="H167" i="8"/>
  <c r="H69" i="7"/>
  <c r="E69" i="3"/>
  <c r="B30" i="24"/>
  <c r="H29" i="24"/>
  <c r="G29" i="24"/>
  <c r="P57" i="5"/>
  <c r="F57" i="1"/>
  <c r="S13" i="13"/>
  <c r="S14" i="16"/>
  <c r="S14" i="13"/>
  <c r="AA13" i="13"/>
  <c r="AA14" i="16"/>
  <c r="AA14" i="13"/>
  <c r="E23" i="16"/>
  <c r="Q23" i="15"/>
  <c r="AE23" i="13"/>
  <c r="AM23" i="13"/>
  <c r="L24" i="13"/>
  <c r="L25" i="13"/>
  <c r="L24" i="15"/>
  <c r="L25" i="15"/>
  <c r="L24" i="14"/>
  <c r="L25" i="14"/>
  <c r="L24" i="16"/>
  <c r="AB24" i="15"/>
  <c r="AB25" i="15"/>
  <c r="AB24" i="16"/>
  <c r="AB24" i="14"/>
  <c r="AB25" i="14"/>
  <c r="AF30" i="13"/>
  <c r="AF31" i="13"/>
  <c r="AH30" i="15"/>
  <c r="AH31" i="15"/>
  <c r="AH30" i="16"/>
  <c r="AX22" i="15"/>
  <c r="AX23" i="16"/>
  <c r="AX23" i="15"/>
  <c r="F23" i="20"/>
  <c r="G23" i="20"/>
  <c r="F23" i="22"/>
  <c r="G23" i="22"/>
  <c r="C41" i="12"/>
  <c r="P34" i="3"/>
  <c r="D34" i="1"/>
  <c r="I34" i="1"/>
  <c r="P34" i="5"/>
  <c r="F34" i="1"/>
  <c r="P36" i="6"/>
  <c r="G36" i="1"/>
  <c r="AB13" i="13"/>
  <c r="AB14" i="16"/>
  <c r="AB14" i="13"/>
  <c r="K22" i="12"/>
  <c r="N23" i="16"/>
  <c r="K23" i="12"/>
  <c r="Z23" i="15"/>
  <c r="AH23" i="15"/>
  <c r="AT23" i="14"/>
  <c r="E31" i="25"/>
  <c r="B32" i="25"/>
  <c r="H31" i="25"/>
  <c r="AW23" i="16"/>
  <c r="AW23" i="15"/>
  <c r="AW22" i="15"/>
  <c r="E23" i="14"/>
  <c r="J22" i="12"/>
  <c r="M23" i="16"/>
  <c r="J23" i="12"/>
  <c r="Q23" i="13"/>
  <c r="AC22" i="13"/>
  <c r="AC23" i="16"/>
  <c r="AC23" i="13"/>
  <c r="AK23" i="16"/>
  <c r="AK23" i="14"/>
  <c r="AK22" i="14"/>
  <c r="AS23" i="16"/>
  <c r="AS23" i="15"/>
  <c r="AS22" i="15"/>
  <c r="BA23" i="14"/>
  <c r="P24" i="13"/>
  <c r="P25" i="13"/>
  <c r="P24" i="14"/>
  <c r="P25" i="14"/>
  <c r="P24" i="16"/>
  <c r="P24" i="15"/>
  <c r="P25" i="15"/>
  <c r="AI28" i="13"/>
  <c r="AI29" i="13"/>
  <c r="AK28" i="15"/>
  <c r="AK29" i="15"/>
  <c r="AK28" i="16"/>
  <c r="AV30" i="13"/>
  <c r="AV31" i="13"/>
  <c r="AX30" i="14"/>
  <c r="AX31" i="14"/>
  <c r="AX30" i="16"/>
  <c r="E33" i="22"/>
  <c r="D10" i="23"/>
  <c r="D12" i="23"/>
  <c r="E8" i="23"/>
  <c r="AW23" i="14"/>
  <c r="P58" i="3"/>
  <c r="D58" i="1"/>
  <c r="P36" i="4"/>
  <c r="E36" i="1"/>
  <c r="P60" i="4"/>
  <c r="E60" i="1"/>
  <c r="N53" i="5"/>
  <c r="P58" i="5"/>
  <c r="F58" i="1"/>
  <c r="P71" i="5"/>
  <c r="F71" i="1"/>
  <c r="I71" i="1"/>
  <c r="C22" i="12"/>
  <c r="F23" i="16"/>
  <c r="C23" i="12"/>
  <c r="J23" i="15"/>
  <c r="N23" i="15"/>
  <c r="V22" i="13"/>
  <c r="V23" i="16"/>
  <c r="V23" i="13"/>
  <c r="Z23" i="14"/>
  <c r="AF23" i="13"/>
  <c r="AP23" i="14"/>
  <c r="AR23" i="13"/>
  <c r="AC29" i="16"/>
  <c r="AC29" i="13"/>
  <c r="AC28" i="13"/>
  <c r="C35" i="25"/>
  <c r="C61" i="3"/>
  <c r="P49" i="5"/>
  <c r="C53" i="5"/>
  <c r="L11" i="13"/>
  <c r="L12" i="13"/>
  <c r="L11" i="16"/>
  <c r="L12" i="16"/>
  <c r="I11" i="12"/>
  <c r="I12" i="12"/>
  <c r="L11" i="15"/>
  <c r="L12" i="15"/>
  <c r="L9" i="7"/>
  <c r="L76" i="8"/>
  <c r="L11" i="14"/>
  <c r="L12" i="14"/>
  <c r="I9" i="3"/>
  <c r="AB11" i="16"/>
  <c r="AB11" i="15"/>
  <c r="AB12" i="15"/>
  <c r="AB9" i="7"/>
  <c r="M9" i="4"/>
  <c r="AB76" i="8"/>
  <c r="AB11" i="14"/>
  <c r="AB12" i="14"/>
  <c r="AR11" i="16"/>
  <c r="AP11" i="13"/>
  <c r="AP12" i="13"/>
  <c r="AR9" i="7"/>
  <c r="E9" i="6"/>
  <c r="AR11" i="14"/>
  <c r="AR12" i="14"/>
  <c r="G35" i="8"/>
  <c r="G39" i="8"/>
  <c r="G42" i="8"/>
  <c r="O35" i="8"/>
  <c r="O46" i="8"/>
  <c r="O76" i="8"/>
  <c r="O39" i="8"/>
  <c r="O42" i="8"/>
  <c r="W35" i="8"/>
  <c r="W46" i="8"/>
  <c r="W39" i="8"/>
  <c r="W42" i="8"/>
  <c r="AE35" i="8"/>
  <c r="AE46" i="8"/>
  <c r="AE76" i="8"/>
  <c r="AE39" i="8"/>
  <c r="AE42" i="8"/>
  <c r="AM35" i="8"/>
  <c r="AM46" i="8"/>
  <c r="AM39" i="8"/>
  <c r="AM42" i="8"/>
  <c r="AU35" i="8"/>
  <c r="AU46" i="8"/>
  <c r="AU76" i="8"/>
  <c r="AU39" i="8"/>
  <c r="AU42" i="8"/>
  <c r="F8" i="3"/>
  <c r="I8" i="7"/>
  <c r="AO8" i="7"/>
  <c r="N8" i="5"/>
  <c r="Q129" i="8"/>
  <c r="Q130" i="8"/>
  <c r="Q125" i="8"/>
  <c r="AH140" i="8"/>
  <c r="AH135" i="8"/>
  <c r="AT140" i="8"/>
  <c r="AT117" i="8"/>
  <c r="AT118" i="8"/>
  <c r="AX101" i="8"/>
  <c r="AX102" i="8"/>
  <c r="H38" i="4"/>
  <c r="W38" i="7"/>
  <c r="AE38" i="7"/>
  <c r="AE46" i="7"/>
  <c r="D38" i="5"/>
  <c r="D46" i="5"/>
  <c r="AM38" i="7"/>
  <c r="L38" i="5"/>
  <c r="L46" i="5"/>
  <c r="AX108" i="8"/>
  <c r="AR38" i="7"/>
  <c r="E38" i="6"/>
  <c r="E39" i="3"/>
  <c r="H39" i="7"/>
  <c r="M39" i="5"/>
  <c r="AN39" i="7"/>
  <c r="AP125" i="8"/>
  <c r="AI43" i="7"/>
  <c r="H43" i="5"/>
  <c r="AB45" i="7"/>
  <c r="M45" i="4"/>
  <c r="AB142" i="8"/>
  <c r="N28" i="12"/>
  <c r="Q29" i="16"/>
  <c r="N29" i="12"/>
  <c r="AG29" i="16"/>
  <c r="AG29" i="14"/>
  <c r="AG28" i="14"/>
  <c r="AW28" i="15"/>
  <c r="AW29" i="16"/>
  <c r="AW29" i="15"/>
  <c r="W28" i="14"/>
  <c r="W29" i="14"/>
  <c r="W28" i="15"/>
  <c r="W29" i="15"/>
  <c r="W28" i="16"/>
  <c r="C30" i="12"/>
  <c r="F31" i="16"/>
  <c r="G30" i="12"/>
  <c r="J31" i="16"/>
  <c r="K30" i="12"/>
  <c r="N31" i="16"/>
  <c r="Z30" i="13"/>
  <c r="Z31" i="16"/>
  <c r="AT30" i="15"/>
  <c r="AT31" i="16"/>
  <c r="Q31" i="16"/>
  <c r="N30" i="12"/>
  <c r="AO31" i="16"/>
  <c r="AO30" i="14"/>
  <c r="AW30" i="15"/>
  <c r="AW31" i="16"/>
  <c r="AX162" i="8"/>
  <c r="AX163" i="8"/>
  <c r="P40" i="3"/>
  <c r="D40" i="1"/>
  <c r="I40" i="1"/>
  <c r="I61" i="4"/>
  <c r="P41" i="3"/>
  <c r="D41" i="1"/>
  <c r="P41" i="5"/>
  <c r="F41" i="1"/>
  <c r="P45" i="7"/>
  <c r="P142" i="8"/>
  <c r="M45" i="3"/>
  <c r="D53" i="4"/>
  <c r="K29" i="16"/>
  <c r="H29" i="12"/>
  <c r="H28" i="12"/>
  <c r="S28" i="13"/>
  <c r="S29" i="16"/>
  <c r="S29" i="13"/>
  <c r="AY28" i="15"/>
  <c r="AY29" i="16"/>
  <c r="AY29" i="15"/>
  <c r="H61" i="7"/>
  <c r="AJ61" i="7"/>
  <c r="X61" i="7"/>
  <c r="AW13" i="15"/>
  <c r="AW14" i="16"/>
  <c r="AW14" i="15"/>
  <c r="I27" i="24"/>
  <c r="D28" i="24"/>
  <c r="I28" i="24"/>
  <c r="D29" i="24"/>
  <c r="L53" i="5"/>
  <c r="H61" i="6"/>
  <c r="AU113" i="8"/>
  <c r="AU43" i="7"/>
  <c r="H43" i="6"/>
  <c r="AU29" i="7"/>
  <c r="H29" i="6"/>
  <c r="AU91" i="8"/>
  <c r="AY74" i="8"/>
  <c r="AY134" i="8"/>
  <c r="AY135" i="8"/>
  <c r="T39" i="8"/>
  <c r="T42" i="8"/>
  <c r="T35" i="8"/>
  <c r="T46" i="8"/>
  <c r="AJ39" i="8"/>
  <c r="AJ42" i="8"/>
  <c r="AJ35" i="8"/>
  <c r="AJ46" i="8"/>
  <c r="AJ76" i="8"/>
  <c r="AZ39" i="8"/>
  <c r="AZ42" i="8"/>
  <c r="AZ35" i="8"/>
  <c r="AZ46" i="8"/>
  <c r="AH35" i="8"/>
  <c r="AH46" i="8"/>
  <c r="AK41" i="8"/>
  <c r="AK42" i="8"/>
  <c r="AK35" i="8"/>
  <c r="AK46" i="8"/>
  <c r="M162" i="8"/>
  <c r="M163" i="8"/>
  <c r="M118" i="8"/>
  <c r="AD139" i="8"/>
  <c r="AD140" i="8"/>
  <c r="AW162" i="8"/>
  <c r="AW163" i="8"/>
  <c r="AW129" i="8"/>
  <c r="AW130" i="8"/>
  <c r="AW118" i="8"/>
  <c r="E10" i="14"/>
  <c r="E53" i="14"/>
  <c r="V11" i="14"/>
  <c r="V12" i="14"/>
  <c r="V11" i="15"/>
  <c r="V12" i="15"/>
  <c r="V11" i="16"/>
  <c r="V9" i="7"/>
  <c r="G9" i="4"/>
  <c r="I134" i="8"/>
  <c r="I135" i="8"/>
  <c r="I74" i="8"/>
  <c r="I69" i="8"/>
  <c r="C29" i="7"/>
  <c r="C29" i="2"/>
  <c r="C91" i="8"/>
  <c r="AI24" i="14"/>
  <c r="AI25" i="16"/>
  <c r="AI25" i="14"/>
  <c r="H37" i="7"/>
  <c r="H46" i="7"/>
  <c r="E37" i="3"/>
  <c r="M43" i="3"/>
  <c r="P43" i="7"/>
  <c r="X32" i="14"/>
  <c r="X32" i="15"/>
  <c r="X32" i="16"/>
  <c r="X32" i="13"/>
  <c r="I64" i="4"/>
  <c r="X64" i="7"/>
  <c r="AP107" i="8"/>
  <c r="AP108" i="8"/>
  <c r="AB38" i="7"/>
  <c r="M38" i="4"/>
  <c r="AA39" i="7"/>
  <c r="L39" i="4"/>
  <c r="N129" i="8"/>
  <c r="N130" i="8"/>
  <c r="J53" i="7"/>
  <c r="AL53" i="7"/>
  <c r="K53" i="6"/>
  <c r="N53" i="7"/>
  <c r="AL32" i="13"/>
  <c r="AN32" i="15"/>
  <c r="AN32" i="16"/>
  <c r="AN32" i="14"/>
  <c r="AN64" i="7"/>
  <c r="M64" i="5"/>
  <c r="AN29" i="7"/>
  <c r="AN91" i="8"/>
  <c r="M29" i="5"/>
  <c r="AR29" i="7"/>
  <c r="AR91" i="8"/>
  <c r="E29" i="6"/>
  <c r="AR35" i="7"/>
  <c r="E35" i="6"/>
  <c r="D42" i="8"/>
  <c r="AC42" i="8"/>
  <c r="C11" i="13"/>
  <c r="C12" i="13"/>
  <c r="C11" i="11"/>
  <c r="C11" i="16"/>
  <c r="C12" i="16"/>
  <c r="C11" i="14"/>
  <c r="C12" i="14"/>
  <c r="C11" i="15"/>
  <c r="C12" i="15"/>
  <c r="C9" i="2"/>
  <c r="C9" i="7"/>
  <c r="I102" i="8"/>
  <c r="N135" i="8"/>
  <c r="AP139" i="8"/>
  <c r="AX118" i="8"/>
  <c r="AX113" i="8"/>
  <c r="AD14" i="16"/>
  <c r="AD14" i="14"/>
  <c r="AD13" i="14"/>
  <c r="C23" i="16"/>
  <c r="D22" i="12"/>
  <c r="G23" i="16"/>
  <c r="D23" i="12"/>
  <c r="H22" i="12"/>
  <c r="K23" i="16"/>
  <c r="H23" i="12"/>
  <c r="L22" i="12"/>
  <c r="O23" i="16"/>
  <c r="L23" i="12"/>
  <c r="S22" i="13"/>
  <c r="S23" i="16"/>
  <c r="S23" i="13"/>
  <c r="AA23" i="15"/>
  <c r="AE22" i="14"/>
  <c r="AE23" i="16"/>
  <c r="AE23" i="14"/>
  <c r="AM23" i="15"/>
  <c r="AQ22" i="15"/>
  <c r="AQ23" i="16"/>
  <c r="AQ23" i="15"/>
  <c r="BC23" i="15"/>
  <c r="AW23" i="13"/>
  <c r="S35" i="7"/>
  <c r="D35" i="4"/>
  <c r="AA45" i="7"/>
  <c r="AA142" i="8"/>
  <c r="L45" i="4"/>
  <c r="M46" i="3"/>
  <c r="F129" i="8"/>
  <c r="F130" i="8"/>
  <c r="F101" i="8"/>
  <c r="F102" i="8"/>
  <c r="R74" i="8"/>
  <c r="R134" i="8"/>
  <c r="R135" i="8"/>
  <c r="R113" i="8"/>
  <c r="V113" i="8"/>
  <c r="AK43" i="7"/>
  <c r="J43" i="5"/>
  <c r="AK102" i="8"/>
  <c r="AG37" i="7"/>
  <c r="F37" i="5"/>
  <c r="BA74" i="8"/>
  <c r="BA134" i="8"/>
  <c r="BA135" i="8"/>
  <c r="BA39" i="7"/>
  <c r="N39" i="6"/>
  <c r="AJ29" i="16"/>
  <c r="AJ29" i="14"/>
  <c r="AJ28" i="14"/>
  <c r="J29" i="4"/>
  <c r="Y91" i="8"/>
  <c r="Y29" i="7"/>
  <c r="F13" i="16"/>
  <c r="F14" i="16"/>
  <c r="C14" i="12"/>
  <c r="C13" i="12"/>
  <c r="F13" i="14"/>
  <c r="F13" i="15"/>
  <c r="C17" i="3"/>
  <c r="F13" i="13"/>
  <c r="F17" i="7"/>
  <c r="I30" i="12"/>
  <c r="L31" i="16"/>
  <c r="AD42" i="8"/>
  <c r="U11" i="14"/>
  <c r="U12" i="14"/>
  <c r="U11" i="15"/>
  <c r="U12" i="15"/>
  <c r="U11" i="16"/>
  <c r="U9" i="7"/>
  <c r="F9" i="4"/>
  <c r="U76" i="8"/>
  <c r="AE11" i="13"/>
  <c r="AE12" i="13"/>
  <c r="AG11" i="15"/>
  <c r="AG12" i="15"/>
  <c r="AG11" i="16"/>
  <c r="AG9" i="7"/>
  <c r="F9" i="5"/>
  <c r="AQ11" i="13"/>
  <c r="AQ12" i="13"/>
  <c r="AS11" i="14"/>
  <c r="AS12" i="14"/>
  <c r="AS11" i="16"/>
  <c r="AS9" i="7"/>
  <c r="F9" i="6"/>
  <c r="AS76" i="8"/>
  <c r="AS74" i="8"/>
  <c r="AS134" i="8"/>
  <c r="AS135" i="8"/>
  <c r="AS163" i="8"/>
  <c r="AS125" i="8"/>
  <c r="U130" i="8"/>
  <c r="AL129" i="8"/>
  <c r="AL130" i="8"/>
  <c r="AI39" i="7"/>
  <c r="H39" i="5"/>
  <c r="T44" i="7"/>
  <c r="E44" i="4"/>
  <c r="J28" i="14"/>
  <c r="J29" i="14"/>
  <c r="J28" i="15"/>
  <c r="J29" i="15"/>
  <c r="J28" i="16"/>
  <c r="J28" i="13"/>
  <c r="J29" i="13"/>
  <c r="P49" i="4"/>
  <c r="C53" i="4"/>
  <c r="Z28" i="14"/>
  <c r="Z29" i="14"/>
  <c r="Z28" i="15"/>
  <c r="Z29" i="15"/>
  <c r="Z28" i="16"/>
  <c r="AF28" i="13"/>
  <c r="AF29" i="13"/>
  <c r="AH28" i="15"/>
  <c r="AH29" i="15"/>
  <c r="AH28" i="16"/>
  <c r="P49" i="6"/>
  <c r="C53" i="6"/>
  <c r="AV28" i="13"/>
  <c r="AV29" i="13"/>
  <c r="AX28" i="14"/>
  <c r="AX29" i="14"/>
  <c r="AX28" i="16"/>
  <c r="P52" i="3"/>
  <c r="D52" i="1"/>
  <c r="C28" i="11"/>
  <c r="G28" i="11"/>
  <c r="G27" i="11"/>
  <c r="K30" i="13"/>
  <c r="K31" i="13"/>
  <c r="K30" i="14"/>
  <c r="K31" i="14"/>
  <c r="K30" i="15"/>
  <c r="K31" i="15"/>
  <c r="K30" i="16"/>
  <c r="S30" i="14"/>
  <c r="S31" i="14"/>
  <c r="S30" i="15"/>
  <c r="S31" i="15"/>
  <c r="S30" i="16"/>
  <c r="AA30" i="14"/>
  <c r="AA31" i="14"/>
  <c r="AA30" i="15"/>
  <c r="AA31" i="15"/>
  <c r="AA30" i="16"/>
  <c r="AI61" i="7"/>
  <c r="T30" i="16"/>
  <c r="T30" i="15"/>
  <c r="T31" i="15"/>
  <c r="T30" i="14"/>
  <c r="T31" i="14"/>
  <c r="S32" i="14"/>
  <c r="S32" i="15"/>
  <c r="S32" i="16"/>
  <c r="S32" i="13"/>
  <c r="D64" i="4"/>
  <c r="S64" i="7"/>
  <c r="AF130" i="8"/>
  <c r="AF134" i="8"/>
  <c r="AF135" i="8"/>
  <c r="AF74" i="8"/>
  <c r="AF125" i="8"/>
  <c r="AJ163" i="8"/>
  <c r="AJ134" i="8"/>
  <c r="AJ74" i="8"/>
  <c r="AN102" i="8"/>
  <c r="AV130" i="8"/>
  <c r="AV134" i="8"/>
  <c r="AV135" i="8"/>
  <c r="AV74" i="8"/>
  <c r="AV125" i="8"/>
  <c r="AZ163" i="8"/>
  <c r="AZ134" i="8"/>
  <c r="AZ135" i="8"/>
  <c r="AZ74" i="8"/>
  <c r="C44" i="7"/>
  <c r="C44" i="2"/>
  <c r="I140" i="8"/>
  <c r="N140" i="8"/>
  <c r="AP113" i="8"/>
  <c r="C23" i="13"/>
  <c r="G23" i="13"/>
  <c r="K23" i="13"/>
  <c r="O23" i="13"/>
  <c r="W23" i="15"/>
  <c r="AA23" i="14"/>
  <c r="AG23" i="13"/>
  <c r="AK23" i="13"/>
  <c r="AU23" i="14"/>
  <c r="AY23" i="14"/>
  <c r="G33" i="2"/>
  <c r="C38" i="2"/>
  <c r="C38" i="7"/>
  <c r="D38" i="4"/>
  <c r="S38" i="7"/>
  <c r="L38" i="4"/>
  <c r="AA38" i="7"/>
  <c r="H38" i="5"/>
  <c r="AI38" i="7"/>
  <c r="L38" i="7"/>
  <c r="I38" i="3"/>
  <c r="I39" i="3"/>
  <c r="L39" i="7"/>
  <c r="AR39" i="7"/>
  <c r="E39" i="6"/>
  <c r="AN45" i="7"/>
  <c r="M45" i="5"/>
  <c r="W53" i="7"/>
  <c r="AY53" i="7"/>
  <c r="F29" i="7"/>
  <c r="C29" i="3"/>
  <c r="F91" i="8"/>
  <c r="F140" i="8"/>
  <c r="R130" i="8"/>
  <c r="R101" i="8"/>
  <c r="R102" i="8"/>
  <c r="V130" i="8"/>
  <c r="V134" i="8"/>
  <c r="V74" i="8"/>
  <c r="K29" i="4"/>
  <c r="Z29" i="7"/>
  <c r="Z91" i="8"/>
  <c r="Z163" i="8"/>
  <c r="Z140" i="8"/>
  <c r="Z135" i="8"/>
  <c r="AK118" i="8"/>
  <c r="AO130" i="8"/>
  <c r="AO74" i="8"/>
  <c r="AO134" i="8"/>
  <c r="AO135" i="8"/>
  <c r="AO35" i="7"/>
  <c r="N35" i="5"/>
  <c r="AG117" i="8"/>
  <c r="AG91" i="8"/>
  <c r="F29" i="5"/>
  <c r="P29" i="5"/>
  <c r="F29" i="1"/>
  <c r="AG29" i="7"/>
  <c r="AG101" i="8"/>
  <c r="AG102" i="8"/>
  <c r="AG124" i="8"/>
  <c r="AZ28" i="15"/>
  <c r="AZ29" i="16"/>
  <c r="AZ29" i="15"/>
  <c r="E30" i="12"/>
  <c r="H31" i="16"/>
  <c r="BA113" i="8"/>
  <c r="BA163" i="8"/>
  <c r="BA129" i="8"/>
  <c r="BA130" i="8"/>
  <c r="Z69" i="8"/>
  <c r="X30" i="13"/>
  <c r="X31" i="16"/>
  <c r="Y139" i="8"/>
  <c r="Y125" i="8"/>
  <c r="Y129" i="8"/>
  <c r="Y130" i="8"/>
  <c r="D113" i="8"/>
  <c r="D163" i="8"/>
  <c r="D134" i="8"/>
  <c r="D135" i="8"/>
  <c r="D69" i="8"/>
  <c r="D42" i="2"/>
  <c r="D42" i="7"/>
  <c r="E22" i="12"/>
  <c r="H23" i="16"/>
  <c r="E23" i="12"/>
  <c r="M22" i="12"/>
  <c r="P23" i="16"/>
  <c r="M23" i="12"/>
  <c r="X22" i="13"/>
  <c r="X23" i="16"/>
  <c r="X23" i="13"/>
  <c r="AN23" i="15"/>
  <c r="AV23" i="14"/>
  <c r="H45" i="3"/>
  <c r="K45" i="7"/>
  <c r="K130" i="8"/>
  <c r="K29" i="7"/>
  <c r="H29" i="3"/>
  <c r="K91" i="8"/>
  <c r="O38" i="7"/>
  <c r="L38" i="3"/>
  <c r="O74" i="8"/>
  <c r="O134" i="8"/>
  <c r="AC134" i="8"/>
  <c r="AC135" i="8"/>
  <c r="AC74" i="8"/>
  <c r="Q64" i="8"/>
  <c r="Q69" i="8"/>
  <c r="AC69" i="8"/>
  <c r="I24" i="16"/>
  <c r="I24" i="13"/>
  <c r="I24" i="15"/>
  <c r="I24" i="14"/>
  <c r="AE24" i="14"/>
  <c r="AE25" i="16"/>
  <c r="AE25" i="14"/>
  <c r="T32" i="15"/>
  <c r="T32" i="14"/>
  <c r="T32" i="16"/>
  <c r="T32" i="13"/>
  <c r="E64" i="4"/>
  <c r="T64" i="7"/>
  <c r="AB35" i="7"/>
  <c r="AB46" i="7"/>
  <c r="M35" i="4"/>
  <c r="M46" i="4"/>
  <c r="M43" i="4"/>
  <c r="AB43" i="7"/>
  <c r="J108" i="8"/>
  <c r="J29" i="7"/>
  <c r="G29" i="3"/>
  <c r="J91" i="8"/>
  <c r="J118" i="8"/>
  <c r="J113" i="8"/>
  <c r="AS140" i="8"/>
  <c r="J69" i="8"/>
  <c r="U139" i="8"/>
  <c r="U140" i="8"/>
  <c r="U117" i="8"/>
  <c r="U101" i="8"/>
  <c r="U102" i="8"/>
  <c r="AC113" i="8"/>
  <c r="AC29" i="7"/>
  <c r="N29" i="4"/>
  <c r="AC91" i="8"/>
  <c r="AC117" i="8"/>
  <c r="AC101" i="8"/>
  <c r="AC102" i="8"/>
  <c r="AC124" i="8"/>
  <c r="AL101" i="8"/>
  <c r="AL102" i="8"/>
  <c r="AL108" i="8"/>
  <c r="AL118" i="8"/>
  <c r="AL113" i="8"/>
  <c r="U134" i="8"/>
  <c r="D23" i="13"/>
  <c r="I22" i="12"/>
  <c r="L23" i="16"/>
  <c r="I23" i="12"/>
  <c r="T22" i="13"/>
  <c r="T23" i="16"/>
  <c r="T23" i="13"/>
  <c r="AJ23" i="15"/>
  <c r="AR23" i="16"/>
  <c r="AR23" i="15"/>
  <c r="AR22" i="15"/>
  <c r="AX23" i="13"/>
  <c r="AB28" i="13"/>
  <c r="AB29" i="16"/>
  <c r="AB29" i="13"/>
  <c r="M30" i="12"/>
  <c r="P31" i="16"/>
  <c r="AV30" i="15"/>
  <c r="AV31" i="16"/>
  <c r="C35" i="7"/>
  <c r="C35" i="2"/>
  <c r="T39" i="7"/>
  <c r="E39" i="4"/>
  <c r="AZ39" i="7"/>
  <c r="M39" i="6"/>
  <c r="J30" i="12"/>
  <c r="M31" i="16"/>
  <c r="AK30" i="14"/>
  <c r="AK31" i="16"/>
  <c r="R125" i="8"/>
  <c r="R163" i="8"/>
  <c r="V29" i="7"/>
  <c r="G29" i="4"/>
  <c r="V91" i="8"/>
  <c r="V163" i="8"/>
  <c r="V118" i="8"/>
  <c r="V135" i="8"/>
  <c r="Z130" i="8"/>
  <c r="AK134" i="8"/>
  <c r="AK74" i="8"/>
  <c r="AK38" i="7"/>
  <c r="J38" i="5"/>
  <c r="AK125" i="8"/>
  <c r="AM32" i="13"/>
  <c r="AO32" i="15"/>
  <c r="N64" i="5"/>
  <c r="AO32" i="16"/>
  <c r="AO32" i="14"/>
  <c r="AO64" i="7"/>
  <c r="AO118" i="8"/>
  <c r="I33" i="8"/>
  <c r="I44" i="8"/>
  <c r="AO33" i="8"/>
  <c r="AO44" i="8"/>
  <c r="AQ41" i="8"/>
  <c r="AG74" i="8"/>
  <c r="AG134" i="8"/>
  <c r="AG135" i="8"/>
  <c r="AG163" i="8"/>
  <c r="AG162" i="8"/>
  <c r="AG118" i="8"/>
  <c r="R69" i="8"/>
  <c r="Q13" i="13"/>
  <c r="Q13" i="14"/>
  <c r="Q13" i="15"/>
  <c r="Q17" i="7"/>
  <c r="N17" i="3"/>
  <c r="N13" i="12"/>
  <c r="Q13" i="16"/>
  <c r="Q14" i="16"/>
  <c r="N14" i="12"/>
  <c r="AH14" i="16"/>
  <c r="AH14" i="14"/>
  <c r="AH13" i="14"/>
  <c r="AB44" i="7"/>
  <c r="M44" i="4"/>
  <c r="T28" i="13"/>
  <c r="T29" i="16"/>
  <c r="T29" i="13"/>
  <c r="AN30" i="14"/>
  <c r="AN31" i="16"/>
  <c r="BA108" i="8"/>
  <c r="BA125" i="8"/>
  <c r="BA140" i="8"/>
  <c r="Y113" i="8"/>
  <c r="Y163" i="8"/>
  <c r="Y107" i="8"/>
  <c r="Y108" i="8"/>
  <c r="Y140" i="8"/>
  <c r="D130" i="8"/>
  <c r="AR13" i="13"/>
  <c r="AT13" i="16"/>
  <c r="AT13" i="14"/>
  <c r="AT17" i="7"/>
  <c r="G17" i="6"/>
  <c r="H23" i="13"/>
  <c r="P23" i="13"/>
  <c r="AD23" i="13"/>
  <c r="AL23" i="13"/>
  <c r="AV23" i="16"/>
  <c r="AV23" i="15"/>
  <c r="AV22" i="15"/>
  <c r="C35" i="24"/>
  <c r="C53" i="1"/>
  <c r="K125" i="8"/>
  <c r="K135" i="8"/>
  <c r="K74" i="8"/>
  <c r="K134" i="8"/>
  <c r="O108" i="8"/>
  <c r="F42" i="8"/>
  <c r="V42" i="8"/>
  <c r="AL42" i="8"/>
  <c r="J11" i="12"/>
  <c r="J12" i="12"/>
  <c r="M11" i="14"/>
  <c r="M12" i="14"/>
  <c r="M11" i="15"/>
  <c r="M12" i="15"/>
  <c r="M11" i="16"/>
  <c r="M12" i="16"/>
  <c r="M9" i="7"/>
  <c r="M11" i="13"/>
  <c r="M12" i="13"/>
  <c r="M76" i="8"/>
  <c r="J9" i="3"/>
  <c r="BA64" i="8"/>
  <c r="BA69" i="8"/>
  <c r="L32" i="13"/>
  <c r="L32" i="15"/>
  <c r="L32" i="16"/>
  <c r="I32" i="12"/>
  <c r="L32" i="14"/>
  <c r="I64" i="3"/>
  <c r="L64" i="7"/>
  <c r="T35" i="7"/>
  <c r="E35" i="4"/>
  <c r="T43" i="7"/>
  <c r="E43" i="4"/>
  <c r="E46" i="4"/>
  <c r="AB37" i="7"/>
  <c r="M37" i="4"/>
  <c r="J74" i="8"/>
  <c r="J134" i="8"/>
  <c r="AS108" i="8"/>
  <c r="AS29" i="7"/>
  <c r="F29" i="6"/>
  <c r="AS91" i="8"/>
  <c r="AS101" i="8"/>
  <c r="AS102" i="8"/>
  <c r="W24" i="13"/>
  <c r="W25" i="16"/>
  <c r="W25" i="13"/>
  <c r="U112" i="8"/>
  <c r="U29" i="7"/>
  <c r="F29" i="4"/>
  <c r="U91" i="8"/>
  <c r="U113" i="8"/>
  <c r="U124" i="8"/>
  <c r="U125" i="8"/>
  <c r="AC108" i="8"/>
  <c r="AC139" i="8"/>
  <c r="AC140" i="8"/>
  <c r="AC162" i="8"/>
  <c r="AC118" i="8"/>
  <c r="AL74" i="8"/>
  <c r="AL134" i="8"/>
  <c r="AL135" i="8"/>
  <c r="AL29" i="7"/>
  <c r="AL91" i="8"/>
  <c r="K29" i="5"/>
  <c r="D23" i="14"/>
  <c r="D22" i="11"/>
  <c r="L23" i="13"/>
  <c r="AB23" i="14"/>
  <c r="AJ23" i="16"/>
  <c r="AJ23" i="14"/>
  <c r="AJ22" i="14"/>
  <c r="AP23" i="13"/>
  <c r="AN24" i="13"/>
  <c r="AN25" i="13"/>
  <c r="AP24" i="14"/>
  <c r="AP25" i="14"/>
  <c r="AP24" i="16"/>
  <c r="Y11" i="14"/>
  <c r="Y12" i="14"/>
  <c r="Y11" i="15"/>
  <c r="Y12" i="15"/>
  <c r="Y11" i="16"/>
  <c r="Y9" i="7"/>
  <c r="J9" i="4"/>
  <c r="Y76" i="8"/>
  <c r="L42" i="6"/>
  <c r="AY42" i="7"/>
  <c r="F53" i="7"/>
  <c r="N28" i="13"/>
  <c r="N29" i="13"/>
  <c r="N28" i="14"/>
  <c r="N29" i="14"/>
  <c r="N28" i="15"/>
  <c r="N29" i="15"/>
  <c r="N28" i="16"/>
  <c r="V28" i="14"/>
  <c r="V29" i="14"/>
  <c r="V28" i="15"/>
  <c r="V29" i="15"/>
  <c r="V28" i="16"/>
  <c r="Z53" i="7"/>
  <c r="AJ28" i="13"/>
  <c r="AJ29" i="13"/>
  <c r="AL28" i="15"/>
  <c r="AL29" i="15"/>
  <c r="AL28" i="16"/>
  <c r="AR28" i="13"/>
  <c r="AR29" i="13"/>
  <c r="AT28" i="14"/>
  <c r="AT29" i="14"/>
  <c r="AT28" i="16"/>
  <c r="P50" i="4"/>
  <c r="E50" i="1"/>
  <c r="P52" i="5"/>
  <c r="F52" i="1"/>
  <c r="M28" i="12"/>
  <c r="P29" i="16"/>
  <c r="M29" i="12"/>
  <c r="AV29" i="16"/>
  <c r="AV29" i="15"/>
  <c r="AV28" i="15"/>
  <c r="D61" i="3"/>
  <c r="P56" i="3"/>
  <c r="O30" i="13"/>
  <c r="O31" i="13"/>
  <c r="O30" i="14"/>
  <c r="O31" i="14"/>
  <c r="O30" i="15"/>
  <c r="O31" i="15"/>
  <c r="O30" i="16"/>
  <c r="W30" i="14"/>
  <c r="W31" i="14"/>
  <c r="W30" i="15"/>
  <c r="W31" i="15"/>
  <c r="W30" i="16"/>
  <c r="D61" i="5"/>
  <c r="P56" i="5"/>
  <c r="AK30" i="13"/>
  <c r="AK31" i="13"/>
  <c r="AM30" i="15"/>
  <c r="AM31" i="15"/>
  <c r="AM30" i="16"/>
  <c r="AS30" i="13"/>
  <c r="AS31" i="13"/>
  <c r="AU30" i="14"/>
  <c r="AU31" i="14"/>
  <c r="AU30" i="16"/>
  <c r="AP30" i="13"/>
  <c r="AP31" i="13"/>
  <c r="AR30" i="16"/>
  <c r="AR30" i="14"/>
  <c r="AR31" i="14"/>
  <c r="AG32" i="13"/>
  <c r="AI32" i="15"/>
  <c r="AI32" i="16"/>
  <c r="AI32" i="14"/>
  <c r="AI64" i="7"/>
  <c r="H64" i="5"/>
  <c r="AF102" i="8"/>
  <c r="AN130" i="8"/>
  <c r="AN134" i="8"/>
  <c r="AN135" i="8"/>
  <c r="AN74" i="8"/>
  <c r="AN125" i="8"/>
  <c r="AR163" i="8"/>
  <c r="AR134" i="8"/>
  <c r="AR135" i="8"/>
  <c r="AR74" i="8"/>
  <c r="AV102" i="8"/>
  <c r="E31" i="8"/>
  <c r="F41" i="8"/>
  <c r="E41" i="8"/>
  <c r="AQ45" i="8"/>
  <c r="I39" i="7"/>
  <c r="F39" i="3"/>
  <c r="AP118" i="8"/>
  <c r="AP135" i="8"/>
  <c r="AX140" i="8"/>
  <c r="G21" i="11"/>
  <c r="C22" i="11"/>
  <c r="G22" i="11"/>
  <c r="G23" i="14"/>
  <c r="K23" i="14"/>
  <c r="O23" i="14"/>
  <c r="S23" i="14"/>
  <c r="W22" i="13"/>
  <c r="W23" i="16"/>
  <c r="W23" i="13"/>
  <c r="AE23" i="15"/>
  <c r="AI22" i="14"/>
  <c r="AI23" i="16"/>
  <c r="AI23" i="14"/>
  <c r="AQ23" i="14"/>
  <c r="AU22" i="15"/>
  <c r="AU23" i="16"/>
  <c r="AU23" i="15"/>
  <c r="AB39" i="7"/>
  <c r="M39" i="4"/>
  <c r="H45" i="7"/>
  <c r="H142" i="8"/>
  <c r="E45" i="3"/>
  <c r="P57" i="4"/>
  <c r="E57" i="1"/>
  <c r="I57" i="1"/>
  <c r="C61" i="1"/>
  <c r="F163" i="8"/>
  <c r="F125" i="8"/>
  <c r="F118" i="8"/>
  <c r="F113" i="8"/>
  <c r="V125" i="8"/>
  <c r="V140" i="8"/>
  <c r="Z74" i="8"/>
  <c r="Z134" i="8"/>
  <c r="Z113" i="8"/>
  <c r="AK135" i="8"/>
  <c r="AK37" i="7"/>
  <c r="J37" i="5"/>
  <c r="AK140" i="8"/>
  <c r="AO91" i="8"/>
  <c r="N29" i="5"/>
  <c r="AO29" i="7"/>
  <c r="AO42" i="7"/>
  <c r="N42" i="5"/>
  <c r="AG113" i="8"/>
  <c r="AG139" i="8"/>
  <c r="AG140" i="8"/>
  <c r="AG125" i="8"/>
  <c r="J42" i="8"/>
  <c r="AF11" i="13"/>
  <c r="AF12" i="13"/>
  <c r="AH11" i="15"/>
  <c r="AH12" i="15"/>
  <c r="G9" i="5"/>
  <c r="AH9" i="7"/>
  <c r="AH11" i="16"/>
  <c r="P33" i="3"/>
  <c r="P33" i="5"/>
  <c r="D140" i="8"/>
  <c r="BA112" i="8"/>
  <c r="BA29" i="7"/>
  <c r="N29" i="6"/>
  <c r="BA91" i="8"/>
  <c r="BA107" i="8"/>
  <c r="AV24" i="13"/>
  <c r="AV25" i="13"/>
  <c r="AX24" i="14"/>
  <c r="AX25" i="14"/>
  <c r="AX24" i="16"/>
  <c r="Y117" i="8"/>
  <c r="Y135" i="8"/>
  <c r="Y112" i="8"/>
  <c r="Y101" i="8"/>
  <c r="Y102" i="8"/>
  <c r="D39" i="2"/>
  <c r="D39" i="7"/>
  <c r="D108" i="8"/>
  <c r="D102" i="8"/>
  <c r="H23" i="15"/>
  <c r="P23" i="15"/>
  <c r="X23" i="15"/>
  <c r="AF23" i="15"/>
  <c r="AN23" i="16"/>
  <c r="AN23" i="14"/>
  <c r="AN22" i="14"/>
  <c r="G66" i="8"/>
  <c r="G90" i="8"/>
  <c r="G98" i="8"/>
  <c r="G106" i="8"/>
  <c r="G112" i="8"/>
  <c r="G128" i="8"/>
  <c r="G161" i="8"/>
  <c r="G163" i="8"/>
  <c r="G133" i="8"/>
  <c r="G139" i="8"/>
  <c r="G111" i="8"/>
  <c r="G117" i="8"/>
  <c r="G107" i="8"/>
  <c r="G124" i="8"/>
  <c r="G129" i="8"/>
  <c r="G99" i="8"/>
  <c r="G101" i="8"/>
  <c r="G102" i="8"/>
  <c r="G123" i="8"/>
  <c r="G125" i="8"/>
  <c r="G138" i="8"/>
  <c r="G140" i="8"/>
  <c r="G116" i="8"/>
  <c r="G40" i="8"/>
  <c r="G46" i="8"/>
  <c r="G162" i="8"/>
  <c r="K39" i="7"/>
  <c r="H39" i="3"/>
  <c r="K102" i="8"/>
  <c r="K108" i="8"/>
  <c r="O140" i="8"/>
  <c r="O135" i="8"/>
  <c r="O32" i="13"/>
  <c r="O32" i="14"/>
  <c r="O32" i="15"/>
  <c r="O32" i="16"/>
  <c r="L32" i="12"/>
  <c r="O64" i="7"/>
  <c r="L64" i="3"/>
  <c r="C35" i="8"/>
  <c r="C46" i="8"/>
  <c r="C40" i="8"/>
  <c r="C42" i="8"/>
  <c r="AK64" i="8"/>
  <c r="AK69" i="8"/>
  <c r="AW64" i="8"/>
  <c r="AW69" i="8"/>
  <c r="AI24" i="13"/>
  <c r="AI25" i="13"/>
  <c r="AK24" i="16"/>
  <c r="AK24" i="15"/>
  <c r="AK25" i="15"/>
  <c r="I35" i="3"/>
  <c r="L35" i="7"/>
  <c r="I43" i="3"/>
  <c r="L43" i="7"/>
  <c r="T37" i="7"/>
  <c r="E37" i="4"/>
  <c r="I36" i="1"/>
  <c r="J135" i="8"/>
  <c r="U108" i="8"/>
  <c r="U135" i="8"/>
  <c r="U162" i="8"/>
  <c r="U163" i="8"/>
  <c r="U118" i="8"/>
  <c r="AC125" i="8"/>
  <c r="D23" i="15"/>
  <c r="L23" i="14"/>
  <c r="T23" i="14"/>
  <c r="AB23" i="15"/>
  <c r="AH23" i="13"/>
  <c r="AZ23" i="14"/>
  <c r="Y13" i="14"/>
  <c r="Y13" i="15"/>
  <c r="Y17" i="7"/>
  <c r="Y13" i="16"/>
  <c r="J17" i="4"/>
  <c r="AO69" i="8"/>
  <c r="Y37" i="7"/>
  <c r="J37" i="4"/>
  <c r="N44" i="4"/>
  <c r="AC44" i="7"/>
  <c r="AV44" i="7"/>
  <c r="I44" i="6"/>
  <c r="AV142" i="8"/>
  <c r="AW42" i="7"/>
  <c r="J42" i="6"/>
  <c r="K45" i="5"/>
  <c r="AL45" i="7"/>
  <c r="AL142" i="8"/>
  <c r="F43" i="7"/>
  <c r="C43" i="3"/>
  <c r="C45" i="5"/>
  <c r="AD45" i="7"/>
  <c r="AD142" i="8"/>
  <c r="AY44" i="7"/>
  <c r="L44" i="6"/>
  <c r="AY142" i="8"/>
  <c r="AT39" i="7"/>
  <c r="G39" i="6"/>
  <c r="K37" i="3"/>
  <c r="N37" i="7"/>
  <c r="J32" i="14"/>
  <c r="J32" i="15"/>
  <c r="J32" i="16"/>
  <c r="G32" i="12"/>
  <c r="J64" i="7"/>
  <c r="J32" i="13"/>
  <c r="G64" i="3"/>
  <c r="Q45" i="7"/>
  <c r="Q142" i="8"/>
  <c r="N45" i="3"/>
  <c r="F10" i="22"/>
  <c r="F12" i="22"/>
  <c r="G8" i="22"/>
  <c r="E46" i="6"/>
  <c r="AN44" i="7"/>
  <c r="M44" i="5"/>
  <c r="AN142" i="8"/>
  <c r="J43" i="4"/>
  <c r="Y43" i="7"/>
  <c r="AG45" i="7"/>
  <c r="AG142" i="8"/>
  <c r="F45" i="5"/>
  <c r="D44" i="7"/>
  <c r="D44" i="2"/>
  <c r="G44" i="2"/>
  <c r="C44" i="1"/>
  <c r="AO44" i="7"/>
  <c r="N44" i="5"/>
  <c r="AO142" i="8"/>
  <c r="AR46" i="7"/>
  <c r="R44" i="7"/>
  <c r="C44" i="4"/>
  <c r="AP37" i="7"/>
  <c r="C37" i="6"/>
  <c r="F12" i="20"/>
  <c r="G8" i="20"/>
  <c r="F10" i="20"/>
  <c r="M42" i="7"/>
  <c r="J42" i="3"/>
  <c r="U42" i="7"/>
  <c r="F42" i="4"/>
  <c r="U45" i="7"/>
  <c r="U142" i="8"/>
  <c r="F45" i="4"/>
  <c r="U32" i="14"/>
  <c r="U32" i="16"/>
  <c r="U32" i="13"/>
  <c r="U32" i="15"/>
  <c r="U64" i="7"/>
  <c r="F64" i="4"/>
  <c r="AL44" i="7"/>
  <c r="K44" i="5"/>
  <c r="AC45" i="7"/>
  <c r="AC142" i="8"/>
  <c r="N45" i="4"/>
  <c r="AU46" i="7"/>
  <c r="AJ32" i="13"/>
  <c r="AL32" i="15"/>
  <c r="AL32" i="16"/>
  <c r="AL32" i="14"/>
  <c r="AL64" i="7"/>
  <c r="K64" i="5"/>
  <c r="AH38" i="7"/>
  <c r="G38" i="5"/>
  <c r="Z39" i="7"/>
  <c r="K39" i="4"/>
  <c r="R45" i="7"/>
  <c r="C45" i="4"/>
  <c r="R142" i="8"/>
  <c r="R39" i="7"/>
  <c r="C39" i="4"/>
  <c r="G45" i="3"/>
  <c r="J45" i="7"/>
  <c r="J142" i="8"/>
  <c r="C44" i="3"/>
  <c r="F44" i="7"/>
  <c r="AS39" i="7"/>
  <c r="F39" i="6"/>
  <c r="AS38" i="7"/>
  <c r="F38" i="6"/>
  <c r="M45" i="7"/>
  <c r="M142" i="8"/>
  <c r="J45" i="3"/>
  <c r="K35" i="7"/>
  <c r="H35" i="3"/>
  <c r="G108" i="8"/>
  <c r="F33" i="1"/>
  <c r="AK45" i="7"/>
  <c r="AK142" i="8"/>
  <c r="J45" i="5"/>
  <c r="I35" i="6"/>
  <c r="AV35" i="7"/>
  <c r="AV46" i="7"/>
  <c r="AL28" i="14"/>
  <c r="AL29" i="16"/>
  <c r="AL29" i="14"/>
  <c r="AG44" i="7"/>
  <c r="F44" i="5"/>
  <c r="V24" i="14"/>
  <c r="V25" i="14"/>
  <c r="V24" i="15"/>
  <c r="V24" i="16"/>
  <c r="C46" i="2"/>
  <c r="C74" i="2"/>
  <c r="AC24" i="14"/>
  <c r="AC25" i="14"/>
  <c r="AC24" i="16"/>
  <c r="AC24" i="15"/>
  <c r="F24" i="12"/>
  <c r="I25" i="16"/>
  <c r="F25" i="12"/>
  <c r="C45" i="3"/>
  <c r="F142" i="8"/>
  <c r="F45" i="7"/>
  <c r="AA54" i="15"/>
  <c r="P53" i="6"/>
  <c r="G49" i="1"/>
  <c r="G53" i="1"/>
  <c r="R38" i="7"/>
  <c r="C38" i="4"/>
  <c r="AH8" i="7"/>
  <c r="G8" i="5"/>
  <c r="G18" i="5"/>
  <c r="AX37" i="7"/>
  <c r="K37" i="6"/>
  <c r="F9" i="12"/>
  <c r="I9" i="14"/>
  <c r="I9" i="15"/>
  <c r="I9" i="16"/>
  <c r="I9" i="13"/>
  <c r="AK28" i="14"/>
  <c r="AK29" i="16"/>
  <c r="AK29" i="14"/>
  <c r="AJ31" i="14"/>
  <c r="Y39" i="7"/>
  <c r="J39" i="4"/>
  <c r="T26" i="16"/>
  <c r="T26" i="15"/>
  <c r="T27" i="15"/>
  <c r="T26" i="14"/>
  <c r="T27" i="14"/>
  <c r="AU13" i="16"/>
  <c r="AU13" i="14"/>
  <c r="AU17" i="7"/>
  <c r="AS13" i="13"/>
  <c r="H17" i="6"/>
  <c r="AQ35" i="7"/>
  <c r="D35" i="6"/>
  <c r="I50" i="1"/>
  <c r="AD8" i="7"/>
  <c r="C8" i="5"/>
  <c r="N38" i="7"/>
  <c r="K38" i="3"/>
  <c r="G32" i="13"/>
  <c r="G32" i="14"/>
  <c r="G32" i="15"/>
  <c r="G32" i="16"/>
  <c r="D32" i="12"/>
  <c r="G64" i="7"/>
  <c r="D64" i="3"/>
  <c r="F42" i="7"/>
  <c r="C42" i="3"/>
  <c r="AP44" i="7"/>
  <c r="C44" i="6"/>
  <c r="Y11" i="13"/>
  <c r="Y12" i="16"/>
  <c r="Y12" i="13"/>
  <c r="AG39" i="7"/>
  <c r="F39" i="5"/>
  <c r="F35" i="4"/>
  <c r="U35" i="7"/>
  <c r="I25" i="14"/>
  <c r="Y42" i="7"/>
  <c r="J42" i="4"/>
  <c r="K45" i="3"/>
  <c r="N45" i="7"/>
  <c r="N142" i="8"/>
  <c r="AX13" i="13"/>
  <c r="AZ13" i="16"/>
  <c r="AZ17" i="7"/>
  <c r="AZ13" i="14"/>
  <c r="M17" i="6"/>
  <c r="AT13" i="13"/>
  <c r="AV17" i="7"/>
  <c r="AV13" i="14"/>
  <c r="I17" i="6"/>
  <c r="AV13" i="16"/>
  <c r="AD13" i="13"/>
  <c r="AF17" i="7"/>
  <c r="AF13" i="15"/>
  <c r="AF13" i="16"/>
  <c r="E17" i="5"/>
  <c r="H30" i="12"/>
  <c r="K31" i="16"/>
  <c r="AH28" i="14"/>
  <c r="AH29" i="16"/>
  <c r="AH29" i="14"/>
  <c r="AL43" i="7"/>
  <c r="K43" i="5"/>
  <c r="AQ32" i="13"/>
  <c r="AS32" i="14"/>
  <c r="AS32" i="16"/>
  <c r="AS32" i="15"/>
  <c r="AS64" i="7"/>
  <c r="F64" i="6"/>
  <c r="AG11" i="14"/>
  <c r="AG12" i="16"/>
  <c r="AG12" i="14"/>
  <c r="Y24" i="15"/>
  <c r="Y24" i="14"/>
  <c r="Y24" i="16"/>
  <c r="N44" i="6"/>
  <c r="BA44" i="7"/>
  <c r="AX38" i="7"/>
  <c r="K38" i="6"/>
  <c r="I35" i="7"/>
  <c r="F35" i="3"/>
  <c r="N43" i="7"/>
  <c r="K43" i="3"/>
  <c r="F11" i="12"/>
  <c r="F12" i="12"/>
  <c r="I11" i="13"/>
  <c r="I12" i="13"/>
  <c r="I11" i="14"/>
  <c r="I12" i="14"/>
  <c r="I11" i="15"/>
  <c r="I12" i="15"/>
  <c r="I11" i="16"/>
  <c r="I12" i="16"/>
  <c r="I9" i="7"/>
  <c r="I18" i="7"/>
  <c r="I76" i="8"/>
  <c r="F9" i="3"/>
  <c r="AW43" i="7"/>
  <c r="J43" i="6"/>
  <c r="M32" i="13"/>
  <c r="M32" i="14"/>
  <c r="J64" i="3"/>
  <c r="M32" i="15"/>
  <c r="M32" i="16"/>
  <c r="J32" i="12"/>
  <c r="M64" i="7"/>
  <c r="AZ8" i="7"/>
  <c r="M8" i="6"/>
  <c r="T8" i="7"/>
  <c r="E8" i="4"/>
  <c r="E18" i="4"/>
  <c r="AU24" i="14"/>
  <c r="AU25" i="14"/>
  <c r="AS24" i="13"/>
  <c r="AU24" i="16"/>
  <c r="N31" i="12"/>
  <c r="AP42" i="7"/>
  <c r="C42" i="6"/>
  <c r="AT45" i="7"/>
  <c r="G45" i="6"/>
  <c r="AT142" i="8"/>
  <c r="N43" i="3"/>
  <c r="Q43" i="7"/>
  <c r="AM8" i="7"/>
  <c r="L8" i="5"/>
  <c r="L18" i="5"/>
  <c r="W8" i="7"/>
  <c r="H8" i="4"/>
  <c r="H18" i="4"/>
  <c r="AB11" i="13"/>
  <c r="AB12" i="16"/>
  <c r="AB12" i="13"/>
  <c r="E12" i="23"/>
  <c r="F8" i="23"/>
  <c r="E10" i="23"/>
  <c r="AX30" i="15"/>
  <c r="AX31" i="16"/>
  <c r="E32" i="25"/>
  <c r="H32" i="25"/>
  <c r="B33" i="25"/>
  <c r="G32" i="25"/>
  <c r="N39" i="7"/>
  <c r="K39" i="3"/>
  <c r="N13" i="16"/>
  <c r="N14" i="16"/>
  <c r="K14" i="12"/>
  <c r="K13" i="12"/>
  <c r="N13" i="14"/>
  <c r="N13" i="15"/>
  <c r="N13" i="13"/>
  <c r="K17" i="3"/>
  <c r="N17" i="7"/>
  <c r="E17" i="16"/>
  <c r="M8" i="7"/>
  <c r="J8" i="3"/>
  <c r="J18" i="3"/>
  <c r="H8" i="7"/>
  <c r="E8" i="3"/>
  <c r="E18" i="3"/>
  <c r="AA46" i="7"/>
  <c r="BC23" i="14"/>
  <c r="F15" i="21"/>
  <c r="E18" i="21"/>
  <c r="O43" i="7"/>
  <c r="L43" i="3"/>
  <c r="L46" i="3"/>
  <c r="N42" i="7"/>
  <c r="K42" i="3"/>
  <c r="I60" i="1"/>
  <c r="D30" i="12"/>
  <c r="P30" i="12"/>
  <c r="G31" i="16"/>
  <c r="L46" i="6"/>
  <c r="AV13" i="13"/>
  <c r="AX13" i="16"/>
  <c r="AX13" i="14"/>
  <c r="AX17" i="7"/>
  <c r="K17" i="6"/>
  <c r="K11" i="12"/>
  <c r="K12" i="12"/>
  <c r="N11" i="14"/>
  <c r="N12" i="14"/>
  <c r="N11" i="15"/>
  <c r="N12" i="15"/>
  <c r="N11" i="13"/>
  <c r="N12" i="13"/>
  <c r="N11" i="16"/>
  <c r="N12" i="16"/>
  <c r="K9" i="3"/>
  <c r="N9" i="7"/>
  <c r="N76" i="8"/>
  <c r="AD38" i="7"/>
  <c r="C38" i="5"/>
  <c r="P38" i="5"/>
  <c r="F38" i="1"/>
  <c r="Z8" i="7"/>
  <c r="K8" i="4"/>
  <c r="AW24" i="13"/>
  <c r="AY24" i="14"/>
  <c r="AY24" i="16"/>
  <c r="C26" i="13"/>
  <c r="C27" i="13"/>
  <c r="C26" i="14"/>
  <c r="C27" i="14"/>
  <c r="C26" i="15"/>
  <c r="C27" i="15"/>
  <c r="C25" i="11"/>
  <c r="C26" i="16"/>
  <c r="C27" i="16"/>
  <c r="C172" i="8"/>
  <c r="AN32" i="13"/>
  <c r="AP32" i="14"/>
  <c r="AP32" i="16"/>
  <c r="AP32" i="15"/>
  <c r="AP64" i="7"/>
  <c r="C64" i="6"/>
  <c r="Y31" i="13"/>
  <c r="L28" i="12"/>
  <c r="O29" i="16"/>
  <c r="L29" i="12"/>
  <c r="G44" i="6"/>
  <c r="AT44" i="7"/>
  <c r="N18" i="3"/>
  <c r="AR32" i="13"/>
  <c r="AT32" i="14"/>
  <c r="AT32" i="16"/>
  <c r="AT32" i="15"/>
  <c r="AT64" i="7"/>
  <c r="G64" i="6"/>
  <c r="G37" i="5"/>
  <c r="AH37" i="7"/>
  <c r="AH46" i="7"/>
  <c r="Z35" i="7"/>
  <c r="K35" i="4"/>
  <c r="U28" i="13"/>
  <c r="U29" i="16"/>
  <c r="U29" i="13"/>
  <c r="F10" i="18"/>
  <c r="F12" i="18"/>
  <c r="G8" i="18"/>
  <c r="AC31" i="13"/>
  <c r="F31" i="12"/>
  <c r="BA22" i="13"/>
  <c r="AC43" i="7"/>
  <c r="N43" i="4"/>
  <c r="R28" i="13"/>
  <c r="R29" i="16"/>
  <c r="R29" i="13"/>
  <c r="X46" i="7"/>
  <c r="AI46" i="7"/>
  <c r="AN13" i="13"/>
  <c r="AP13" i="16"/>
  <c r="AP13" i="14"/>
  <c r="AP17" i="7"/>
  <c r="C17" i="6"/>
  <c r="E16" i="11"/>
  <c r="AW35" i="7"/>
  <c r="J35" i="6"/>
  <c r="N8" i="6"/>
  <c r="N18" i="6"/>
  <c r="BA8" i="7"/>
  <c r="AX8" i="7"/>
  <c r="K8" i="6"/>
  <c r="AB8" i="7"/>
  <c r="M8" i="4"/>
  <c r="M18" i="4"/>
  <c r="AQ8" i="7"/>
  <c r="D8" i="6"/>
  <c r="D38" i="6"/>
  <c r="AQ38" i="7"/>
  <c r="AQ43" i="7"/>
  <c r="D43" i="6"/>
  <c r="AQ29" i="7"/>
  <c r="D29" i="6"/>
  <c r="P29" i="6"/>
  <c r="G29" i="1"/>
  <c r="AQ91" i="8"/>
  <c r="AL31" i="14"/>
  <c r="AH39" i="7"/>
  <c r="G39" i="5"/>
  <c r="AE9" i="13"/>
  <c r="AG9" i="15"/>
  <c r="AG9" i="16"/>
  <c r="AA8" i="7"/>
  <c r="L8" i="4"/>
  <c r="L18" i="4"/>
  <c r="K8" i="7"/>
  <c r="H8" i="3"/>
  <c r="AJ11" i="14"/>
  <c r="AJ12" i="16"/>
  <c r="AJ12" i="14"/>
  <c r="G56" i="1"/>
  <c r="G61" i="1"/>
  <c r="P61" i="6"/>
  <c r="H37" i="21"/>
  <c r="I33" i="21"/>
  <c r="X24" i="13"/>
  <c r="X25" i="16"/>
  <c r="H25" i="16"/>
  <c r="E25" i="12"/>
  <c r="E24" i="12"/>
  <c r="G33" i="19"/>
  <c r="F37" i="19"/>
  <c r="S26" i="14"/>
  <c r="S26" i="15"/>
  <c r="S26" i="16"/>
  <c r="J44" i="6"/>
  <c r="AW44" i="7"/>
  <c r="M38" i="7"/>
  <c r="J38" i="3"/>
  <c r="E38" i="7"/>
  <c r="E38" i="2"/>
  <c r="E37" i="7"/>
  <c r="E37" i="2"/>
  <c r="P37" i="4"/>
  <c r="E37" i="1"/>
  <c r="AX24" i="13"/>
  <c r="AZ24" i="14"/>
  <c r="AZ24" i="16"/>
  <c r="AI11" i="14"/>
  <c r="AI12" i="16"/>
  <c r="AI12" i="14"/>
  <c r="AK26" i="13"/>
  <c r="AM26" i="15"/>
  <c r="AM27" i="15"/>
  <c r="AM54" i="15"/>
  <c r="AM26" i="16"/>
  <c r="AM11" i="14"/>
  <c r="AM12" i="16"/>
  <c r="AM12" i="14"/>
  <c r="AY12" i="16"/>
  <c r="AY12" i="15"/>
  <c r="AY11" i="15"/>
  <c r="AM11" i="13"/>
  <c r="AM12" i="13"/>
  <c r="AO11" i="15"/>
  <c r="AO12" i="15"/>
  <c r="AO11" i="16"/>
  <c r="AO9" i="7"/>
  <c r="AO76" i="8"/>
  <c r="N9" i="5"/>
  <c r="AC42" i="7"/>
  <c r="N42" i="4"/>
  <c r="F44" i="4"/>
  <c r="U44" i="7"/>
  <c r="AI11" i="13"/>
  <c r="AI12" i="13"/>
  <c r="AK11" i="15"/>
  <c r="AK12" i="15"/>
  <c r="AK11" i="16"/>
  <c r="AK9" i="7"/>
  <c r="AK76" i="8"/>
  <c r="J9" i="5"/>
  <c r="P9" i="5"/>
  <c r="F9" i="1"/>
  <c r="G8" i="7"/>
  <c r="D8" i="3"/>
  <c r="J44" i="4"/>
  <c r="Y44" i="7"/>
  <c r="D33" i="1"/>
  <c r="AG42" i="7"/>
  <c r="F42" i="5"/>
  <c r="Z38" i="7"/>
  <c r="K38" i="4"/>
  <c r="AX45" i="7"/>
  <c r="K45" i="6"/>
  <c r="AX142" i="8"/>
  <c r="AN42" i="7"/>
  <c r="M42" i="5"/>
  <c r="V28" i="13"/>
  <c r="V29" i="16"/>
  <c r="V29" i="13"/>
  <c r="U24" i="14"/>
  <c r="U24" i="16"/>
  <c r="U24" i="15"/>
  <c r="J13" i="16"/>
  <c r="J14" i="16"/>
  <c r="G14" i="12"/>
  <c r="J13" i="13"/>
  <c r="J13" i="14"/>
  <c r="J13" i="15"/>
  <c r="G17" i="3"/>
  <c r="J17" i="7"/>
  <c r="G13" i="12"/>
  <c r="H13" i="12"/>
  <c r="K13" i="13"/>
  <c r="K13" i="16"/>
  <c r="K14" i="16"/>
  <c r="H14" i="12"/>
  <c r="K13" i="15"/>
  <c r="K13" i="14"/>
  <c r="H17" i="3"/>
  <c r="K17" i="7"/>
  <c r="Y32" i="15"/>
  <c r="Y32" i="14"/>
  <c r="Y32" i="16"/>
  <c r="Y32" i="13"/>
  <c r="J64" i="4"/>
  <c r="Y64" i="7"/>
  <c r="R11" i="14"/>
  <c r="R12" i="14"/>
  <c r="R11" i="15"/>
  <c r="R12" i="15"/>
  <c r="R9" i="7"/>
  <c r="R76" i="8"/>
  <c r="R11" i="16"/>
  <c r="C9" i="4"/>
  <c r="Z43" i="7"/>
  <c r="K43" i="4"/>
  <c r="AK31" i="14"/>
  <c r="M31" i="12"/>
  <c r="AL35" i="7"/>
  <c r="K35" i="5"/>
  <c r="K46" i="5"/>
  <c r="J38" i="7"/>
  <c r="G38" i="3"/>
  <c r="K43" i="7"/>
  <c r="H43" i="3"/>
  <c r="Z44" i="7"/>
  <c r="K44" i="4"/>
  <c r="V43" i="7"/>
  <c r="G43" i="4"/>
  <c r="AV42" i="7"/>
  <c r="I42" i="6"/>
  <c r="AF42" i="7"/>
  <c r="E42" i="5"/>
  <c r="P42" i="5"/>
  <c r="F42" i="1"/>
  <c r="AX28" i="15"/>
  <c r="AX29" i="16"/>
  <c r="AX29" i="15"/>
  <c r="AS42" i="7"/>
  <c r="F42" i="6"/>
  <c r="J35" i="5"/>
  <c r="AK35" i="7"/>
  <c r="C12" i="11"/>
  <c r="G11" i="11"/>
  <c r="J39" i="3"/>
  <c r="M39" i="7"/>
  <c r="AW13" i="13"/>
  <c r="AY13" i="16"/>
  <c r="AY17" i="7"/>
  <c r="L17" i="6"/>
  <c r="AY13" i="14"/>
  <c r="K31" i="12"/>
  <c r="Q42" i="7"/>
  <c r="N42" i="3"/>
  <c r="P22" i="12"/>
  <c r="P25" i="16"/>
  <c r="M24" i="12"/>
  <c r="AH30" i="14"/>
  <c r="AH31" i="16"/>
  <c r="AB24" i="13"/>
  <c r="AB25" i="16"/>
  <c r="AB25" i="13"/>
  <c r="H33" i="18"/>
  <c r="G37" i="18"/>
  <c r="AY30" i="15"/>
  <c r="AY31" i="16"/>
  <c r="L46" i="4"/>
  <c r="U13" i="13"/>
  <c r="U14" i="16"/>
  <c r="U14" i="13"/>
  <c r="C45" i="6"/>
  <c r="AP45" i="7"/>
  <c r="AP142" i="8"/>
  <c r="AJ44" i="7"/>
  <c r="AJ46" i="7"/>
  <c r="I44" i="5"/>
  <c r="I46" i="5"/>
  <c r="AF8" i="7"/>
  <c r="E8" i="5"/>
  <c r="E18" i="5"/>
  <c r="U31" i="13"/>
  <c r="AD31" i="14"/>
  <c r="Q39" i="7"/>
  <c r="N39" i="3"/>
  <c r="G37" i="6"/>
  <c r="AT37" i="7"/>
  <c r="C37" i="5"/>
  <c r="AD37" i="7"/>
  <c r="N35" i="7"/>
  <c r="K35" i="3"/>
  <c r="J43" i="7"/>
  <c r="G43" i="3"/>
  <c r="AT38" i="7"/>
  <c r="G38" i="6"/>
  <c r="BA23" i="13"/>
  <c r="H46" i="5"/>
  <c r="M37" i="7"/>
  <c r="J37" i="3"/>
  <c r="G15" i="22"/>
  <c r="F18" i="22"/>
  <c r="P61" i="4"/>
  <c r="E56" i="1"/>
  <c r="E61" i="1"/>
  <c r="K24" i="12"/>
  <c r="N25" i="16"/>
  <c r="K25" i="12"/>
  <c r="Q44" i="7"/>
  <c r="N44" i="3"/>
  <c r="E45" i="7"/>
  <c r="E142" i="8"/>
  <c r="E45" i="2"/>
  <c r="K76" i="8"/>
  <c r="G11" i="13"/>
  <c r="G12" i="13"/>
  <c r="D11" i="12"/>
  <c r="D12" i="12"/>
  <c r="G11" i="15"/>
  <c r="G12" i="15"/>
  <c r="G11" i="16"/>
  <c r="G12" i="16"/>
  <c r="G9" i="7"/>
  <c r="G11" i="14"/>
  <c r="G12" i="14"/>
  <c r="D9" i="3"/>
  <c r="P9" i="3"/>
  <c r="D9" i="1"/>
  <c r="G76" i="8"/>
  <c r="U37" i="7"/>
  <c r="F37" i="4"/>
  <c r="G35" i="7"/>
  <c r="D35" i="3"/>
  <c r="AH11" i="14"/>
  <c r="AH12" i="16"/>
  <c r="AH12" i="14"/>
  <c r="H26" i="13"/>
  <c r="H26" i="16"/>
  <c r="H26" i="14"/>
  <c r="H26" i="15"/>
  <c r="H27" i="15"/>
  <c r="H54" i="15"/>
  <c r="AP13" i="13"/>
  <c r="AR13" i="16"/>
  <c r="AR17" i="7"/>
  <c r="E17" i="6"/>
  <c r="AR13" i="14"/>
  <c r="P61" i="3"/>
  <c r="D56" i="1"/>
  <c r="AP24" i="15"/>
  <c r="AP25" i="16"/>
  <c r="AP25" i="15"/>
  <c r="AJ13" i="13"/>
  <c r="AL13" i="16"/>
  <c r="AL13" i="15"/>
  <c r="K17" i="5"/>
  <c r="AL17" i="7"/>
  <c r="AC37" i="7"/>
  <c r="N37" i="4"/>
  <c r="Y45" i="7"/>
  <c r="Y142" i="8"/>
  <c r="J45" i="4"/>
  <c r="BA37" i="7"/>
  <c r="N37" i="6"/>
  <c r="N46" i="6"/>
  <c r="AE13" i="13"/>
  <c r="AG13" i="15"/>
  <c r="AG17" i="7"/>
  <c r="AG18" i="7"/>
  <c r="AG13" i="16"/>
  <c r="F17" i="5"/>
  <c r="F18" i="5"/>
  <c r="AO39" i="7"/>
  <c r="N39" i="5"/>
  <c r="R42" i="7"/>
  <c r="C42" i="4"/>
  <c r="G11" i="12"/>
  <c r="G12" i="12"/>
  <c r="J11" i="13"/>
  <c r="J12" i="13"/>
  <c r="J11" i="14"/>
  <c r="J12" i="14"/>
  <c r="J11" i="15"/>
  <c r="J12" i="15"/>
  <c r="G9" i="3"/>
  <c r="G18" i="3"/>
  <c r="J11" i="16"/>
  <c r="J12" i="16"/>
  <c r="J9" i="7"/>
  <c r="J18" i="7"/>
  <c r="J76" i="8"/>
  <c r="G37" i="3"/>
  <c r="J37" i="7"/>
  <c r="AC11" i="14"/>
  <c r="AC12" i="14"/>
  <c r="AC11" i="15"/>
  <c r="AC12" i="15"/>
  <c r="AC11" i="16"/>
  <c r="AC9" i="7"/>
  <c r="N9" i="4"/>
  <c r="AC76" i="8"/>
  <c r="K24" i="13"/>
  <c r="K25" i="13"/>
  <c r="K24" i="14"/>
  <c r="K24" i="15"/>
  <c r="K24" i="16"/>
  <c r="Z11" i="14"/>
  <c r="Z12" i="14"/>
  <c r="Z11" i="15"/>
  <c r="Z12" i="15"/>
  <c r="Z11" i="16"/>
  <c r="Z9" i="7"/>
  <c r="Z76" i="8"/>
  <c r="K9" i="4"/>
  <c r="R35" i="7"/>
  <c r="C35" i="4"/>
  <c r="F24" i="13"/>
  <c r="F24" i="14"/>
  <c r="F25" i="14"/>
  <c r="F24" i="15"/>
  <c r="F24" i="16"/>
  <c r="E91" i="8"/>
  <c r="Y13" i="13"/>
  <c r="Y14" i="16"/>
  <c r="Y14" i="13"/>
  <c r="U39" i="7"/>
  <c r="F39" i="4"/>
  <c r="L46" i="7"/>
  <c r="C8" i="7"/>
  <c r="C8" i="2"/>
  <c r="O45" i="7"/>
  <c r="L45" i="3"/>
  <c r="O142" i="8"/>
  <c r="G118" i="8"/>
  <c r="G113" i="8"/>
  <c r="G130" i="8"/>
  <c r="G29" i="7"/>
  <c r="D29" i="3"/>
  <c r="G91" i="8"/>
  <c r="D35" i="2"/>
  <c r="D35" i="7"/>
  <c r="Y35" i="7"/>
  <c r="J35" i="4"/>
  <c r="AH76" i="8"/>
  <c r="AG38" i="7"/>
  <c r="F38" i="5"/>
  <c r="F32" i="13"/>
  <c r="F32" i="14"/>
  <c r="F32" i="15"/>
  <c r="F32" i="16"/>
  <c r="C32" i="12"/>
  <c r="F64" i="7"/>
  <c r="C64" i="3"/>
  <c r="AP39" i="7"/>
  <c r="C39" i="6"/>
  <c r="AR44" i="7"/>
  <c r="E44" i="6"/>
  <c r="AU30" i="15"/>
  <c r="AU31" i="16"/>
  <c r="W30" i="13"/>
  <c r="W31" i="16"/>
  <c r="AJ24" i="13"/>
  <c r="AJ25" i="13"/>
  <c r="AL24" i="15"/>
  <c r="AL25" i="15"/>
  <c r="AL24" i="16"/>
  <c r="N39" i="4"/>
  <c r="AC39" i="7"/>
  <c r="AS35" i="7"/>
  <c r="F35" i="6"/>
  <c r="AS37" i="7"/>
  <c r="F37" i="6"/>
  <c r="AY11" i="13"/>
  <c r="AY12" i="13"/>
  <c r="BA11" i="14"/>
  <c r="BA12" i="14"/>
  <c r="BA11" i="16"/>
  <c r="BA9" i="7"/>
  <c r="N9" i="6"/>
  <c r="BA76" i="8"/>
  <c r="O37" i="7"/>
  <c r="O46" i="7"/>
  <c r="L37" i="3"/>
  <c r="K42" i="7"/>
  <c r="H42" i="3"/>
  <c r="C36" i="24"/>
  <c r="AT14" i="16"/>
  <c r="AT14" i="15"/>
  <c r="AT13" i="15"/>
  <c r="AN31" i="14"/>
  <c r="AI13" i="13"/>
  <c r="AK13" i="15"/>
  <c r="AK13" i="16"/>
  <c r="AK17" i="7"/>
  <c r="J17" i="5"/>
  <c r="V39" i="7"/>
  <c r="G39" i="4"/>
  <c r="J31" i="12"/>
  <c r="AV31" i="15"/>
  <c r="N35" i="4"/>
  <c r="AC35" i="7"/>
  <c r="AS45" i="7"/>
  <c r="AS142" i="8"/>
  <c r="F45" i="6"/>
  <c r="J24" i="14"/>
  <c r="J25" i="14"/>
  <c r="J24" i="15"/>
  <c r="J24" i="16"/>
  <c r="J24" i="13"/>
  <c r="J25" i="13"/>
  <c r="I25" i="15"/>
  <c r="N11" i="12"/>
  <c r="N12" i="12"/>
  <c r="Q11" i="13"/>
  <c r="Q12" i="13"/>
  <c r="Q11" i="14"/>
  <c r="Q12" i="14"/>
  <c r="Q11" i="15"/>
  <c r="Q12" i="15"/>
  <c r="Q11" i="16"/>
  <c r="Q12" i="16"/>
  <c r="Q9" i="7"/>
  <c r="Q76" i="8"/>
  <c r="N9" i="3"/>
  <c r="L13" i="12"/>
  <c r="O13" i="13"/>
  <c r="O13" i="16"/>
  <c r="O14" i="16"/>
  <c r="L14" i="12"/>
  <c r="O13" i="14"/>
  <c r="O13" i="15"/>
  <c r="O17" i="7"/>
  <c r="L17" i="3"/>
  <c r="D31" i="11"/>
  <c r="G31" i="11"/>
  <c r="D32" i="13"/>
  <c r="D32" i="15"/>
  <c r="D32" i="14"/>
  <c r="D32" i="16"/>
  <c r="D64" i="2"/>
  <c r="D64" i="7"/>
  <c r="BA43" i="7"/>
  <c r="N43" i="6"/>
  <c r="N43" i="5"/>
  <c r="AO43" i="7"/>
  <c r="Z32" i="14"/>
  <c r="Z32" i="15"/>
  <c r="Z32" i="16"/>
  <c r="Z32" i="13"/>
  <c r="Z64" i="7"/>
  <c r="K64" i="4"/>
  <c r="V13" i="16"/>
  <c r="V13" i="14"/>
  <c r="V13" i="15"/>
  <c r="G17" i="4"/>
  <c r="V17" i="7"/>
  <c r="R43" i="7"/>
  <c r="C43" i="4"/>
  <c r="P29" i="3"/>
  <c r="D29" i="1"/>
  <c r="C33" i="1"/>
  <c r="I45" i="7"/>
  <c r="I142" i="8"/>
  <c r="F45" i="3"/>
  <c r="AZ44" i="7"/>
  <c r="AZ46" i="7"/>
  <c r="M44" i="6"/>
  <c r="M46" i="6"/>
  <c r="AF44" i="7"/>
  <c r="E44" i="5"/>
  <c r="T54" i="14"/>
  <c r="S30" i="13"/>
  <c r="S31" i="16"/>
  <c r="G28" i="12"/>
  <c r="J29" i="16"/>
  <c r="G29" i="12"/>
  <c r="F44" i="6"/>
  <c r="AS44" i="7"/>
  <c r="AY13" i="13"/>
  <c r="BA13" i="14"/>
  <c r="BA13" i="16"/>
  <c r="BA17" i="7"/>
  <c r="N17" i="6"/>
  <c r="R13" i="16"/>
  <c r="R13" i="14"/>
  <c r="R13" i="15"/>
  <c r="R17" i="7"/>
  <c r="C17" i="4"/>
  <c r="D46" i="4"/>
  <c r="AX39" i="7"/>
  <c r="K39" i="6"/>
  <c r="AL24" i="13"/>
  <c r="AL25" i="13"/>
  <c r="AN24" i="15"/>
  <c r="AN24" i="16"/>
  <c r="C23" i="11"/>
  <c r="C24" i="13"/>
  <c r="C25" i="13"/>
  <c r="C24" i="14"/>
  <c r="C24" i="15"/>
  <c r="C24" i="16"/>
  <c r="I13" i="13"/>
  <c r="I13" i="14"/>
  <c r="I13" i="15"/>
  <c r="F13" i="12"/>
  <c r="I17" i="7"/>
  <c r="I13" i="16"/>
  <c r="I14" i="16"/>
  <c r="F14" i="12"/>
  <c r="F17" i="3"/>
  <c r="F18" i="3"/>
  <c r="V76" i="8"/>
  <c r="E17" i="14"/>
  <c r="AU32" i="13"/>
  <c r="AW32" i="16"/>
  <c r="AW32" i="15"/>
  <c r="AW64" i="7"/>
  <c r="AW32" i="14"/>
  <c r="J64" i="6"/>
  <c r="AK8" i="7"/>
  <c r="J8" i="5"/>
  <c r="J18" i="5"/>
  <c r="H38" i="6"/>
  <c r="AU38" i="7"/>
  <c r="I29" i="24"/>
  <c r="D30" i="24"/>
  <c r="I41" i="1"/>
  <c r="AV32" i="13"/>
  <c r="AX32" i="14"/>
  <c r="AX32" i="16"/>
  <c r="AX32" i="15"/>
  <c r="AX64" i="7"/>
  <c r="K64" i="6"/>
  <c r="AO31" i="14"/>
  <c r="Z31" i="13"/>
  <c r="G31" i="12"/>
  <c r="W28" i="13"/>
  <c r="W29" i="16"/>
  <c r="W29" i="13"/>
  <c r="AH44" i="7"/>
  <c r="G44" i="5"/>
  <c r="C36" i="25"/>
  <c r="P23" i="12"/>
  <c r="I58" i="1"/>
  <c r="D33" i="11"/>
  <c r="D34" i="13"/>
  <c r="D34" i="16"/>
  <c r="D34" i="15"/>
  <c r="D34" i="14"/>
  <c r="I31" i="25"/>
  <c r="D32" i="25"/>
  <c r="I24" i="12"/>
  <c r="L25" i="16"/>
  <c r="I25" i="12"/>
  <c r="H41" i="16"/>
  <c r="C37" i="3"/>
  <c r="F37" i="7"/>
  <c r="AD11" i="14"/>
  <c r="AD12" i="16"/>
  <c r="AD12" i="14"/>
  <c r="C44" i="5"/>
  <c r="AD44" i="7"/>
  <c r="AU142" i="8"/>
  <c r="AP31" i="15"/>
  <c r="AX42" i="7"/>
  <c r="K42" i="6"/>
  <c r="AE26" i="15"/>
  <c r="AE26" i="16"/>
  <c r="AV76" i="8"/>
  <c r="AF31" i="14"/>
  <c r="O24" i="13"/>
  <c r="O24" i="14"/>
  <c r="O25" i="14"/>
  <c r="O24" i="15"/>
  <c r="O25" i="15"/>
  <c r="O24" i="16"/>
  <c r="D9" i="11"/>
  <c r="D9" i="13"/>
  <c r="D9" i="15"/>
  <c r="D9" i="16"/>
  <c r="D9" i="14"/>
  <c r="AV11" i="13"/>
  <c r="AV12" i="13"/>
  <c r="AX11" i="14"/>
  <c r="AX12" i="14"/>
  <c r="AX9" i="7"/>
  <c r="AX76" i="8"/>
  <c r="K9" i="6"/>
  <c r="AX11" i="16"/>
  <c r="J24" i="12"/>
  <c r="M25" i="16"/>
  <c r="AD24" i="13"/>
  <c r="AF24" i="16"/>
  <c r="AF24" i="15"/>
  <c r="AY46" i="7"/>
  <c r="AT11" i="15"/>
  <c r="AT12" i="16"/>
  <c r="AT12" i="15"/>
  <c r="E17" i="15"/>
  <c r="AV8" i="7"/>
  <c r="I8" i="6"/>
  <c r="P8" i="7"/>
  <c r="M8" i="3"/>
  <c r="M18" i="3"/>
  <c r="AU44" i="7"/>
  <c r="H44" i="6"/>
  <c r="G42" i="2"/>
  <c r="C42" i="1"/>
  <c r="AZ142" i="8"/>
  <c r="AF38" i="7"/>
  <c r="E38" i="5"/>
  <c r="AP35" i="7"/>
  <c r="AP46" i="7"/>
  <c r="C35" i="6"/>
  <c r="AT42" i="7"/>
  <c r="G42" i="6"/>
  <c r="N9" i="12"/>
  <c r="Q9" i="14"/>
  <c r="Q9" i="15"/>
  <c r="Q9" i="16"/>
  <c r="Q18" i="7"/>
  <c r="Q9" i="13"/>
  <c r="AT35" i="7"/>
  <c r="G35" i="6"/>
  <c r="G46" i="6"/>
  <c r="AT43" i="7"/>
  <c r="G43" i="6"/>
  <c r="AF32" i="13"/>
  <c r="AH32" i="15"/>
  <c r="AH32" i="16"/>
  <c r="AH32" i="14"/>
  <c r="AH64" i="7"/>
  <c r="G64" i="5"/>
  <c r="AD32" i="15"/>
  <c r="AD32" i="16"/>
  <c r="AD32" i="14"/>
  <c r="AD64" i="7"/>
  <c r="C64" i="5"/>
  <c r="C10" i="17"/>
  <c r="C12" i="17"/>
  <c r="J9" i="16"/>
  <c r="G9" i="12"/>
  <c r="J9" i="14"/>
  <c r="J9" i="15"/>
  <c r="J9" i="13"/>
  <c r="K31" i="25"/>
  <c r="J32" i="25"/>
  <c r="AS43" i="7"/>
  <c r="F43" i="6"/>
  <c r="V35" i="7"/>
  <c r="G35" i="4"/>
  <c r="R24" i="14"/>
  <c r="R24" i="15"/>
  <c r="R24" i="16"/>
  <c r="BA31" i="15"/>
  <c r="X26" i="16"/>
  <c r="X26" i="14"/>
  <c r="X26" i="15"/>
  <c r="X27" i="15"/>
  <c r="X54" i="15"/>
  <c r="AD28" i="14"/>
  <c r="BC28" i="14"/>
  <c r="AD29" i="16"/>
  <c r="AD29" i="14"/>
  <c r="AL11" i="14"/>
  <c r="AL12" i="16"/>
  <c r="AL12" i="14"/>
  <c r="AD39" i="7"/>
  <c r="C39" i="5"/>
  <c r="R8" i="7"/>
  <c r="C8" i="4"/>
  <c r="D42" i="6"/>
  <c r="AQ42" i="7"/>
  <c r="AQ74" i="8"/>
  <c r="AQ134" i="8"/>
  <c r="BC22" i="15"/>
  <c r="D28" i="12"/>
  <c r="G29" i="16"/>
  <c r="D29" i="12"/>
  <c r="AL8" i="7"/>
  <c r="K8" i="5"/>
  <c r="K18" i="5"/>
  <c r="G8" i="4"/>
  <c r="G18" i="4"/>
  <c r="V8" i="7"/>
  <c r="C8" i="3"/>
  <c r="F8" i="7"/>
  <c r="AZ76" i="8"/>
  <c r="T76" i="8"/>
  <c r="G15" i="18"/>
  <c r="R30" i="13"/>
  <c r="R31" i="16"/>
  <c r="N8" i="4"/>
  <c r="AC8" i="7"/>
  <c r="M44" i="7"/>
  <c r="J44" i="3"/>
  <c r="E35" i="2"/>
  <c r="E35" i="7"/>
  <c r="E43" i="7"/>
  <c r="E43" i="2"/>
  <c r="AW24" i="15"/>
  <c r="AW25" i="16"/>
  <c r="AQ69" i="8"/>
  <c r="AF142" i="8"/>
  <c r="AE28" i="14"/>
  <c r="AE29" i="16"/>
  <c r="AE29" i="14"/>
  <c r="T24" i="13"/>
  <c r="T25" i="16"/>
  <c r="T25" i="13"/>
  <c r="AN11" i="14"/>
  <c r="AN12" i="16"/>
  <c r="AN12" i="14"/>
  <c r="AM76" i="8"/>
  <c r="AE12" i="16"/>
  <c r="AE12" i="14"/>
  <c r="AE11" i="14"/>
  <c r="W26" i="14"/>
  <c r="W27" i="14"/>
  <c r="W54" i="14"/>
  <c r="W26" i="15"/>
  <c r="W27" i="15"/>
  <c r="W54" i="15"/>
  <c r="W26" i="16"/>
  <c r="AU9" i="13"/>
  <c r="AW9" i="14"/>
  <c r="AW9" i="16"/>
  <c r="AW18" i="7"/>
  <c r="AU11" i="15"/>
  <c r="AU12" i="16"/>
  <c r="AU12" i="15"/>
  <c r="G42" i="7"/>
  <c r="D42" i="3"/>
  <c r="D45" i="7"/>
  <c r="D45" i="2"/>
  <c r="D142" i="8"/>
  <c r="V45" i="7"/>
  <c r="V142" i="8"/>
  <c r="G45" i="4"/>
  <c r="F39" i="7"/>
  <c r="C39" i="3"/>
  <c r="E35" i="5"/>
  <c r="AF35" i="7"/>
  <c r="P61" i="5"/>
  <c r="F56" i="1"/>
  <c r="F61" i="1"/>
  <c r="D43" i="2"/>
  <c r="G43" i="2"/>
  <c r="C43" i="1"/>
  <c r="D43" i="7"/>
  <c r="BA42" i="7"/>
  <c r="N42" i="6"/>
  <c r="R32" i="14"/>
  <c r="R32" i="15"/>
  <c r="R32" i="16"/>
  <c r="R32" i="13"/>
  <c r="R64" i="7"/>
  <c r="C64" i="4"/>
  <c r="AL38" i="7"/>
  <c r="K38" i="5"/>
  <c r="D11" i="13"/>
  <c r="D12" i="13"/>
  <c r="D11" i="16"/>
  <c r="D12" i="16"/>
  <c r="D11" i="11"/>
  <c r="D12" i="11"/>
  <c r="D11" i="15"/>
  <c r="D12" i="15"/>
  <c r="D9" i="7"/>
  <c r="D18" i="7"/>
  <c r="D11" i="14"/>
  <c r="D12" i="14"/>
  <c r="D9" i="2"/>
  <c r="G9" i="2"/>
  <c r="C9" i="1"/>
  <c r="D76" i="8"/>
  <c r="D90" i="8"/>
  <c r="BA38" i="7"/>
  <c r="N38" i="6"/>
  <c r="AE24" i="13"/>
  <c r="AG24" i="15"/>
  <c r="AG25" i="15"/>
  <c r="AG24" i="16"/>
  <c r="AP38" i="7"/>
  <c r="C38" i="6"/>
  <c r="M35" i="5"/>
  <c r="AN35" i="7"/>
  <c r="T30" i="13"/>
  <c r="T31" i="16"/>
  <c r="Z28" i="13"/>
  <c r="Z29" i="16"/>
  <c r="Z29" i="13"/>
  <c r="P53" i="4"/>
  <c r="E49" i="1"/>
  <c r="E53" i="1"/>
  <c r="AA26" i="14"/>
  <c r="AA26" i="15"/>
  <c r="AA27" i="15"/>
  <c r="AA26" i="16"/>
  <c r="K44" i="3"/>
  <c r="N44" i="7"/>
  <c r="AW39" i="7"/>
  <c r="J39" i="6"/>
  <c r="C31" i="12"/>
  <c r="F33" i="22"/>
  <c r="E37" i="22"/>
  <c r="AA11" i="13"/>
  <c r="AA12" i="16"/>
  <c r="AA12" i="13"/>
  <c r="AG31" i="14"/>
  <c r="H16" i="19"/>
  <c r="I16" i="23"/>
  <c r="AC32" i="14"/>
  <c r="AC32" i="15"/>
  <c r="AC32" i="16"/>
  <c r="AC32" i="13"/>
  <c r="AC64" i="7"/>
  <c r="N64" i="4"/>
  <c r="Z37" i="7"/>
  <c r="K37" i="4"/>
  <c r="J35" i="3"/>
  <c r="J46" i="3"/>
  <c r="M35" i="7"/>
  <c r="K30" i="24"/>
  <c r="J31" i="24"/>
  <c r="G39" i="2"/>
  <c r="C39" i="1"/>
  <c r="AX43" i="7"/>
  <c r="K43" i="6"/>
  <c r="AP43" i="7"/>
  <c r="C43" i="6"/>
  <c r="P43" i="6"/>
  <c r="G43" i="1"/>
  <c r="AD43" i="7"/>
  <c r="C43" i="5"/>
  <c r="AF76" i="8"/>
  <c r="AF11" i="14"/>
  <c r="AF12" i="16"/>
  <c r="AF12" i="14"/>
  <c r="C28" i="12"/>
  <c r="F29" i="16"/>
  <c r="C29" i="12"/>
  <c r="P29" i="12"/>
  <c r="AN11" i="13"/>
  <c r="AN12" i="13"/>
  <c r="AP11" i="14"/>
  <c r="AP12" i="14"/>
  <c r="AP11" i="16"/>
  <c r="AP9" i="7"/>
  <c r="AP18" i="7"/>
  <c r="AP76" i="8"/>
  <c r="C9" i="6"/>
  <c r="P11" i="12"/>
  <c r="C12" i="12"/>
  <c r="P12" i="12"/>
  <c r="AW45" i="7"/>
  <c r="AW142" i="8"/>
  <c r="J45" i="6"/>
  <c r="AO32" i="13"/>
  <c r="AQ32" i="14"/>
  <c r="AQ32" i="16"/>
  <c r="AQ32" i="15"/>
  <c r="D64" i="6"/>
  <c r="AQ64" i="7"/>
  <c r="G8" i="6"/>
  <c r="G18" i="6"/>
  <c r="AT8" i="7"/>
  <c r="N8" i="7"/>
  <c r="K8" i="3"/>
  <c r="K18" i="3"/>
  <c r="E31" i="11"/>
  <c r="E32" i="14"/>
  <c r="E32" i="13"/>
  <c r="E32" i="16"/>
  <c r="E64" i="2"/>
  <c r="G64" i="2"/>
  <c r="E64" i="7"/>
  <c r="E32" i="15"/>
  <c r="S11" i="13"/>
  <c r="S12" i="16"/>
  <c r="S12" i="13"/>
  <c r="X11" i="13"/>
  <c r="X12" i="16"/>
  <c r="X12" i="13"/>
  <c r="AK24" i="14"/>
  <c r="AK25" i="16"/>
  <c r="O44" i="7"/>
  <c r="L44" i="3"/>
  <c r="V42" i="7"/>
  <c r="G42" i="4"/>
  <c r="AN17" i="7"/>
  <c r="AN13" i="16"/>
  <c r="AL13" i="13"/>
  <c r="AN13" i="15"/>
  <c r="M17" i="5"/>
  <c r="AM30" i="14"/>
  <c r="AM31" i="16"/>
  <c r="L30" i="12"/>
  <c r="O31" i="16"/>
  <c r="AT28" i="15"/>
  <c r="AT29" i="16"/>
  <c r="AT29" i="15"/>
  <c r="K44" i="7"/>
  <c r="H44" i="3"/>
  <c r="Y38" i="7"/>
  <c r="J38" i="4"/>
  <c r="G44" i="4"/>
  <c r="V44" i="7"/>
  <c r="C46" i="7"/>
  <c r="C74" i="7"/>
  <c r="AL39" i="7"/>
  <c r="K39" i="5"/>
  <c r="J39" i="7"/>
  <c r="G39" i="3"/>
  <c r="E31" i="12"/>
  <c r="AG35" i="7"/>
  <c r="F35" i="5"/>
  <c r="AM13" i="13"/>
  <c r="AO13" i="15"/>
  <c r="AO17" i="7"/>
  <c r="AO13" i="16"/>
  <c r="N17" i="5"/>
  <c r="N18" i="5"/>
  <c r="Z45" i="7"/>
  <c r="K45" i="4"/>
  <c r="Z142" i="8"/>
  <c r="AH13" i="13"/>
  <c r="AJ13" i="16"/>
  <c r="AJ17" i="7"/>
  <c r="AJ13" i="15"/>
  <c r="I17" i="5"/>
  <c r="J44" i="7"/>
  <c r="G44" i="3"/>
  <c r="AU11" i="13"/>
  <c r="AU12" i="13"/>
  <c r="AW11" i="14"/>
  <c r="AW12" i="14"/>
  <c r="AW11" i="16"/>
  <c r="AW9" i="7"/>
  <c r="J9" i="6"/>
  <c r="J18" i="6"/>
  <c r="AW76" i="8"/>
  <c r="H37" i="3"/>
  <c r="K37" i="7"/>
  <c r="G45" i="7"/>
  <c r="D45" i="3"/>
  <c r="G74" i="8"/>
  <c r="G134" i="8"/>
  <c r="G135" i="8"/>
  <c r="D37" i="7"/>
  <c r="D37" i="2"/>
  <c r="G37" i="2"/>
  <c r="C37" i="1"/>
  <c r="AX24" i="15"/>
  <c r="AX25" i="16"/>
  <c r="AX25" i="15"/>
  <c r="AY24" i="13"/>
  <c r="AY25" i="13"/>
  <c r="BA24" i="14"/>
  <c r="BA24" i="16"/>
  <c r="AM24" i="13"/>
  <c r="AM25" i="13"/>
  <c r="AO24" i="15"/>
  <c r="AO24" i="16"/>
  <c r="AK44" i="7"/>
  <c r="J44" i="5"/>
  <c r="Z13" i="16"/>
  <c r="Z13" i="14"/>
  <c r="Z13" i="15"/>
  <c r="Z17" i="7"/>
  <c r="K17" i="4"/>
  <c r="F38" i="7"/>
  <c r="C38" i="3"/>
  <c r="AR32" i="16"/>
  <c r="AR32" i="15"/>
  <c r="AR32" i="14"/>
  <c r="E64" i="6"/>
  <c r="AP32" i="13"/>
  <c r="AR64" i="7"/>
  <c r="M43" i="5"/>
  <c r="AN43" i="7"/>
  <c r="AR30" i="15"/>
  <c r="AR31" i="16"/>
  <c r="K28" i="12"/>
  <c r="N29" i="16"/>
  <c r="K29" i="12"/>
  <c r="U38" i="7"/>
  <c r="F38" i="4"/>
  <c r="AQ24" i="13"/>
  <c r="AS24" i="14"/>
  <c r="AS25" i="14"/>
  <c r="AS24" i="16"/>
  <c r="T46" i="7"/>
  <c r="BA45" i="7"/>
  <c r="BA142" i="8"/>
  <c r="N45" i="6"/>
  <c r="AE32" i="13"/>
  <c r="AG32" i="15"/>
  <c r="F64" i="5"/>
  <c r="AG64" i="7"/>
  <c r="AG32" i="16"/>
  <c r="AG32" i="14"/>
  <c r="AK42" i="7"/>
  <c r="J42" i="5"/>
  <c r="V32" i="14"/>
  <c r="V32" i="15"/>
  <c r="V32" i="16"/>
  <c r="V32" i="13"/>
  <c r="V64" i="7"/>
  <c r="G64" i="4"/>
  <c r="K37" i="5"/>
  <c r="AL37" i="7"/>
  <c r="AC38" i="7"/>
  <c r="N38" i="4"/>
  <c r="I25" i="13"/>
  <c r="AC13" i="14"/>
  <c r="AC13" i="15"/>
  <c r="AC13" i="16"/>
  <c r="AC17" i="7"/>
  <c r="N17" i="4"/>
  <c r="K142" i="8"/>
  <c r="D38" i="7"/>
  <c r="D38" i="2"/>
  <c r="G38" i="2"/>
  <c r="C38" i="1"/>
  <c r="X31" i="13"/>
  <c r="AY32" i="13"/>
  <c r="BA32" i="14"/>
  <c r="BA32" i="16"/>
  <c r="BA32" i="15"/>
  <c r="BA64" i="7"/>
  <c r="N64" i="6"/>
  <c r="AO46" i="7"/>
  <c r="J39" i="5"/>
  <c r="AK39" i="7"/>
  <c r="Z24" i="14"/>
  <c r="Z24" i="15"/>
  <c r="Z24" i="16"/>
  <c r="AX32" i="13"/>
  <c r="AZ32" i="14"/>
  <c r="AZ32" i="16"/>
  <c r="AZ32" i="15"/>
  <c r="M64" i="6"/>
  <c r="AZ64" i="7"/>
  <c r="AV43" i="7"/>
  <c r="I43" i="6"/>
  <c r="AH32" i="13"/>
  <c r="AJ32" i="15"/>
  <c r="AJ32" i="16"/>
  <c r="AJ32" i="14"/>
  <c r="AJ64" i="7"/>
  <c r="I64" i="5"/>
  <c r="E43" i="5"/>
  <c r="AF43" i="7"/>
  <c r="T54" i="15"/>
  <c r="AA30" i="13"/>
  <c r="AA31" i="16"/>
  <c r="I52" i="1"/>
  <c r="U43" i="7"/>
  <c r="F43" i="4"/>
  <c r="AQ13" i="13"/>
  <c r="AS13" i="14"/>
  <c r="AS13" i="16"/>
  <c r="AS17" i="7"/>
  <c r="F17" i="6"/>
  <c r="AS11" i="15"/>
  <c r="AS12" i="16"/>
  <c r="AS12" i="15"/>
  <c r="AG76" i="8"/>
  <c r="U12" i="16"/>
  <c r="U12" i="13"/>
  <c r="U11" i="13"/>
  <c r="I31" i="12"/>
  <c r="V38" i="7"/>
  <c r="G38" i="4"/>
  <c r="F35" i="7"/>
  <c r="C35" i="3"/>
  <c r="S46" i="7"/>
  <c r="C76" i="8"/>
  <c r="C174" i="8"/>
  <c r="AR24" i="16"/>
  <c r="AP24" i="13"/>
  <c r="AR24" i="14"/>
  <c r="AR25" i="14"/>
  <c r="I44" i="7"/>
  <c r="F44" i="3"/>
  <c r="V12" i="16"/>
  <c r="V12" i="13"/>
  <c r="V11" i="13"/>
  <c r="AJ8" i="7"/>
  <c r="I8" i="5"/>
  <c r="P26" i="13"/>
  <c r="P27" i="13"/>
  <c r="P54" i="13"/>
  <c r="P26" i="16"/>
  <c r="P26" i="14"/>
  <c r="P27" i="14"/>
  <c r="P54" i="14"/>
  <c r="P26" i="15"/>
  <c r="AW31" i="15"/>
  <c r="AT31" i="15"/>
  <c r="AB26" i="16"/>
  <c r="AB26" i="15"/>
  <c r="AB26" i="14"/>
  <c r="AB27" i="14"/>
  <c r="AB54" i="14"/>
  <c r="AX35" i="7"/>
  <c r="K35" i="6"/>
  <c r="AH45" i="7"/>
  <c r="G45" i="5"/>
  <c r="AH142" i="8"/>
  <c r="AM9" i="13"/>
  <c r="AO9" i="15"/>
  <c r="AO9" i="16"/>
  <c r="AO18" i="7"/>
  <c r="AU8" i="7"/>
  <c r="H8" i="6"/>
  <c r="AE8" i="7"/>
  <c r="D8" i="5"/>
  <c r="D18" i="5"/>
  <c r="O8" i="7"/>
  <c r="L8" i="3"/>
  <c r="AR76" i="8"/>
  <c r="AR11" i="15"/>
  <c r="AR12" i="16"/>
  <c r="AR12" i="15"/>
  <c r="P53" i="5"/>
  <c r="F49" i="1"/>
  <c r="F53" i="1"/>
  <c r="H23" i="22"/>
  <c r="E30" i="24"/>
  <c r="I167" i="8"/>
  <c r="I69" i="7"/>
  <c r="F69" i="3"/>
  <c r="B31" i="24"/>
  <c r="H30" i="24"/>
  <c r="I41" i="16"/>
  <c r="F41" i="12"/>
  <c r="G30" i="24"/>
  <c r="H33" i="20"/>
  <c r="G37" i="20"/>
  <c r="G15" i="20"/>
  <c r="F18" i="20"/>
  <c r="AT24" i="13"/>
  <c r="AT25" i="13"/>
  <c r="AV24" i="16"/>
  <c r="AV24" i="14"/>
  <c r="AV25" i="14"/>
  <c r="AI30" i="14"/>
  <c r="AI31" i="16"/>
  <c r="H46" i="4"/>
  <c r="AD76" i="8"/>
  <c r="AN8" i="7"/>
  <c r="M8" i="5"/>
  <c r="M18" i="5"/>
  <c r="AV12" i="16"/>
  <c r="AV12" i="15"/>
  <c r="AV11" i="15"/>
  <c r="G15" i="19"/>
  <c r="H15" i="23"/>
  <c r="BC22" i="14"/>
  <c r="F12" i="21"/>
  <c r="G8" i="21"/>
  <c r="F10" i="21"/>
  <c r="AL42" i="7"/>
  <c r="K42" i="5"/>
  <c r="M25" i="15"/>
  <c r="AX44" i="7"/>
  <c r="K44" i="6"/>
  <c r="AH24" i="13"/>
  <c r="AJ24" i="15"/>
  <c r="AJ25" i="15"/>
  <c r="AJ24" i="16"/>
  <c r="AB30" i="13"/>
  <c r="AB31" i="16"/>
  <c r="AQ30" i="15"/>
  <c r="AQ31" i="16"/>
  <c r="AE30" i="14"/>
  <c r="BC30" i="14"/>
  <c r="AE31" i="16"/>
  <c r="AT76" i="8"/>
  <c r="H46" i="6"/>
  <c r="AS31" i="15"/>
  <c r="G45" i="2"/>
  <c r="C45" i="1"/>
  <c r="AU28" i="15"/>
  <c r="AU29" i="16"/>
  <c r="AU29" i="15"/>
  <c r="Q32" i="13"/>
  <c r="Q32" i="15"/>
  <c r="N64" i="3"/>
  <c r="Q32" i="16"/>
  <c r="N32" i="12"/>
  <c r="Q64" i="7"/>
  <c r="Q32" i="14"/>
  <c r="AH43" i="7"/>
  <c r="G43" i="5"/>
  <c r="AD35" i="7"/>
  <c r="C35" i="5"/>
  <c r="Z42" i="7"/>
  <c r="K42" i="4"/>
  <c r="G37" i="4"/>
  <c r="V37" i="7"/>
  <c r="N32" i="13"/>
  <c r="N32" i="14"/>
  <c r="N32" i="15"/>
  <c r="N32" i="16"/>
  <c r="K32" i="12"/>
  <c r="N64" i="7"/>
  <c r="K64" i="3"/>
  <c r="J42" i="7"/>
  <c r="G42" i="3"/>
  <c r="F8" i="6"/>
  <c r="F18" i="6"/>
  <c r="AS8" i="7"/>
  <c r="V31" i="13"/>
  <c r="AJ142" i="8"/>
  <c r="F16" i="18"/>
  <c r="G16" i="18"/>
  <c r="H16" i="18"/>
  <c r="I16" i="18"/>
  <c r="J16" i="18"/>
  <c r="K16" i="18"/>
  <c r="L16" i="18"/>
  <c r="M16" i="18"/>
  <c r="N16" i="18"/>
  <c r="O16" i="18"/>
  <c r="P16" i="18"/>
  <c r="Q16" i="18"/>
  <c r="R16" i="18"/>
  <c r="S16" i="18"/>
  <c r="T16" i="18"/>
  <c r="U16" i="18"/>
  <c r="V16" i="18"/>
  <c r="W16" i="18"/>
  <c r="X16" i="18"/>
  <c r="Y16" i="18"/>
  <c r="Z16" i="18"/>
  <c r="AA16" i="18"/>
  <c r="AB16" i="18"/>
  <c r="AC16" i="18"/>
  <c r="AD16" i="18"/>
  <c r="AE16" i="18"/>
  <c r="AF16" i="18"/>
  <c r="AG16" i="18"/>
  <c r="AH16" i="18"/>
  <c r="AI16" i="18"/>
  <c r="AJ16" i="18"/>
  <c r="AK16" i="18"/>
  <c r="AL16" i="18"/>
  <c r="AM16" i="18"/>
  <c r="AN16" i="18"/>
  <c r="AO16" i="18"/>
  <c r="AP16" i="18"/>
  <c r="AQ16" i="18"/>
  <c r="AR16" i="18"/>
  <c r="AS16" i="18"/>
  <c r="AT16" i="18"/>
  <c r="AU16" i="18"/>
  <c r="AV16" i="18"/>
  <c r="AW16" i="18"/>
  <c r="AX16" i="18"/>
  <c r="AY16" i="18"/>
  <c r="AZ16" i="18"/>
  <c r="BA16" i="18"/>
  <c r="C16" i="17"/>
  <c r="C72" i="1"/>
  <c r="P29" i="4"/>
  <c r="E29" i="1"/>
  <c r="AP28" i="15"/>
  <c r="BC28" i="15"/>
  <c r="AP29" i="16"/>
  <c r="AP29" i="15"/>
  <c r="I38" i="7"/>
  <c r="F38" i="3"/>
  <c r="F8" i="4"/>
  <c r="F18" i="4"/>
  <c r="U8" i="7"/>
  <c r="AR8" i="7"/>
  <c r="E8" i="6"/>
  <c r="E18" i="6"/>
  <c r="L8" i="7"/>
  <c r="I8" i="3"/>
  <c r="I18" i="3"/>
  <c r="AQ45" i="7"/>
  <c r="D45" i="6"/>
  <c r="AQ118" i="8"/>
  <c r="AQ135" i="8"/>
  <c r="AQ108" i="8"/>
  <c r="AM28" i="14"/>
  <c r="AM29" i="16"/>
  <c r="AM29" i="14"/>
  <c r="AR142" i="8"/>
  <c r="L26" i="13"/>
  <c r="L26" i="16"/>
  <c r="L26" i="15"/>
  <c r="L27" i="15"/>
  <c r="L54" i="15"/>
  <c r="L26" i="14"/>
  <c r="Q35" i="7"/>
  <c r="N35" i="3"/>
  <c r="AY8" i="7"/>
  <c r="L8" i="6"/>
  <c r="L18" i="6"/>
  <c r="AI8" i="7"/>
  <c r="H8" i="5"/>
  <c r="H18" i="5"/>
  <c r="S8" i="7"/>
  <c r="D8" i="4"/>
  <c r="D18" i="4"/>
  <c r="AZ11" i="15"/>
  <c r="AZ12" i="16"/>
  <c r="AZ12" i="15"/>
  <c r="T11" i="13"/>
  <c r="T12" i="16"/>
  <c r="T12" i="13"/>
  <c r="D49" i="1"/>
  <c r="P53" i="3"/>
  <c r="G33" i="17"/>
  <c r="J33" i="23"/>
  <c r="Y9" i="14"/>
  <c r="Y9" i="15"/>
  <c r="Y9" i="16"/>
  <c r="Y18" i="7"/>
  <c r="E33" i="1"/>
  <c r="AW38" i="7"/>
  <c r="J38" i="6"/>
  <c r="Q38" i="7"/>
  <c r="N38" i="3"/>
  <c r="E39" i="2"/>
  <c r="E39" i="7"/>
  <c r="E42" i="7"/>
  <c r="E42" i="2"/>
  <c r="AI26" i="15"/>
  <c r="AI27" i="15"/>
  <c r="AI54" i="15"/>
  <c r="AG26" i="13"/>
  <c r="AG27" i="13"/>
  <c r="AG54" i="13"/>
  <c r="AI26" i="16"/>
  <c r="AU25" i="13"/>
  <c r="AZ30" i="15"/>
  <c r="BC30" i="15"/>
  <c r="AZ31" i="16"/>
  <c r="E17" i="13"/>
  <c r="X8" i="7"/>
  <c r="I8" i="4"/>
  <c r="I18" i="4"/>
  <c r="BA29" i="16"/>
  <c r="BA29" i="15"/>
  <c r="BA28" i="15"/>
  <c r="F23" i="23"/>
  <c r="W76" i="8"/>
  <c r="W11" i="13"/>
  <c r="W12" i="16"/>
  <c r="W12" i="13"/>
  <c r="H76" i="8"/>
  <c r="AY76" i="8"/>
  <c r="AN9" i="13"/>
  <c r="AP9" i="16"/>
  <c r="AP9" i="14"/>
  <c r="G10" i="18"/>
  <c r="G12" i="18"/>
  <c r="H8" i="18"/>
  <c r="G10" i="22"/>
  <c r="G12" i="22"/>
  <c r="H8" i="22"/>
  <c r="G44" i="7"/>
  <c r="D44" i="3"/>
  <c r="G142" i="8"/>
  <c r="C64" i="1"/>
  <c r="F23" i="18"/>
  <c r="F23" i="19"/>
  <c r="G23" i="23"/>
  <c r="L27" i="14"/>
  <c r="L54" i="14"/>
  <c r="AR9" i="16"/>
  <c r="AR9" i="14"/>
  <c r="AR18" i="7"/>
  <c r="AP9" i="13"/>
  <c r="AH25" i="13"/>
  <c r="G18" i="20"/>
  <c r="H15" i="20"/>
  <c r="P38" i="6"/>
  <c r="G38" i="1"/>
  <c r="W26" i="13"/>
  <c r="W27" i="16"/>
  <c r="W27" i="13"/>
  <c r="C18" i="3"/>
  <c r="P8" i="3"/>
  <c r="P8" i="4"/>
  <c r="C18" i="4"/>
  <c r="E41" i="12"/>
  <c r="H23" i="21"/>
  <c r="I23" i="21"/>
  <c r="C37" i="24"/>
  <c r="W31" i="13"/>
  <c r="W54" i="13"/>
  <c r="W54" i="16"/>
  <c r="K25" i="15"/>
  <c r="M25" i="12"/>
  <c r="P9" i="4"/>
  <c r="E9" i="1"/>
  <c r="I9" i="1"/>
  <c r="I16" i="19"/>
  <c r="J16" i="23"/>
  <c r="AE25" i="13"/>
  <c r="D25" i="11"/>
  <c r="D26" i="11"/>
  <c r="D26" i="13"/>
  <c r="D27" i="13"/>
  <c r="D26" i="16"/>
  <c r="D27" i="16"/>
  <c r="D26" i="15"/>
  <c r="D27" i="15"/>
  <c r="D26" i="14"/>
  <c r="D27" i="14"/>
  <c r="AW9" i="15"/>
  <c r="AW10" i="16"/>
  <c r="AW17" i="16"/>
  <c r="BA30" i="13"/>
  <c r="V9" i="16"/>
  <c r="V9" i="14"/>
  <c r="V9" i="15"/>
  <c r="V18" i="7"/>
  <c r="AO13" i="13"/>
  <c r="AQ13" i="16"/>
  <c r="AQ13" i="14"/>
  <c r="AQ17" i="7"/>
  <c r="D17" i="6"/>
  <c r="R9" i="16"/>
  <c r="R9" i="14"/>
  <c r="R9" i="15"/>
  <c r="R18" i="7"/>
  <c r="X26" i="13"/>
  <c r="X27" i="16"/>
  <c r="R25" i="15"/>
  <c r="J10" i="14"/>
  <c r="J53" i="14"/>
  <c r="J17" i="14"/>
  <c r="Q10" i="16"/>
  <c r="Q53" i="16"/>
  <c r="Q17" i="16"/>
  <c r="I18" i="6"/>
  <c r="J25" i="12"/>
  <c r="D17" i="15"/>
  <c r="D10" i="15"/>
  <c r="D53" i="15"/>
  <c r="AE27" i="15"/>
  <c r="AE54" i="15"/>
  <c r="I30" i="24"/>
  <c r="D31" i="24"/>
  <c r="AI9" i="13"/>
  <c r="AK9" i="15"/>
  <c r="AK18" i="7"/>
  <c r="AK9" i="16"/>
  <c r="C25" i="15"/>
  <c r="C37" i="15"/>
  <c r="C44" i="15"/>
  <c r="AN24" i="14"/>
  <c r="AN25" i="16"/>
  <c r="P17" i="4"/>
  <c r="E17" i="1"/>
  <c r="R14" i="16"/>
  <c r="R14" i="13"/>
  <c r="R13" i="13"/>
  <c r="I33" i="1"/>
  <c r="V14" i="16"/>
  <c r="V14" i="13"/>
  <c r="V13" i="13"/>
  <c r="N46" i="4"/>
  <c r="F46" i="6"/>
  <c r="AL24" i="14"/>
  <c r="AL25" i="16"/>
  <c r="AL25" i="14"/>
  <c r="J46" i="4"/>
  <c r="G24" i="13"/>
  <c r="G24" i="14"/>
  <c r="G24" i="15"/>
  <c r="G24" i="16"/>
  <c r="G38" i="7"/>
  <c r="D38" i="3"/>
  <c r="E23" i="11"/>
  <c r="E24" i="16"/>
  <c r="E24" i="14"/>
  <c r="E24" i="13"/>
  <c r="E24" i="15"/>
  <c r="F25" i="13"/>
  <c r="K25" i="14"/>
  <c r="J46" i="7"/>
  <c r="AG13" i="14"/>
  <c r="AG14" i="16"/>
  <c r="AG14" i="14"/>
  <c r="H27" i="13"/>
  <c r="H54" i="13"/>
  <c r="P37" i="5"/>
  <c r="F37" i="1"/>
  <c r="P45" i="6"/>
  <c r="G45" i="1"/>
  <c r="I33" i="18"/>
  <c r="H37" i="18"/>
  <c r="G12" i="11"/>
  <c r="AL46" i="7"/>
  <c r="R11" i="13"/>
  <c r="R12" i="16"/>
  <c r="R12" i="13"/>
  <c r="U25" i="15"/>
  <c r="D9" i="12"/>
  <c r="G9" i="13"/>
  <c r="G9" i="16"/>
  <c r="G9" i="15"/>
  <c r="G9" i="14"/>
  <c r="AK11" i="14"/>
  <c r="AK12" i="16"/>
  <c r="AK12" i="14"/>
  <c r="BC12" i="14"/>
  <c r="AK27" i="13"/>
  <c r="AK54" i="13"/>
  <c r="AZ24" i="15"/>
  <c r="AZ25" i="16"/>
  <c r="AZ25" i="15"/>
  <c r="S26" i="13"/>
  <c r="S27" i="16"/>
  <c r="S27" i="13"/>
  <c r="H33" i="19"/>
  <c r="G37" i="19"/>
  <c r="AA9" i="16"/>
  <c r="AA9" i="14"/>
  <c r="AA9" i="15"/>
  <c r="AA18" i="7"/>
  <c r="AE17" i="13"/>
  <c r="AE10" i="13"/>
  <c r="AE53" i="13"/>
  <c r="K18" i="6"/>
  <c r="J46" i="6"/>
  <c r="P17" i="6"/>
  <c r="G17" i="1"/>
  <c r="BA29" i="13"/>
  <c r="C54" i="14"/>
  <c r="AW25" i="13"/>
  <c r="AX14" i="16"/>
  <c r="AX14" i="15"/>
  <c r="AX13" i="15"/>
  <c r="M9" i="13"/>
  <c r="M9" i="14"/>
  <c r="M9" i="15"/>
  <c r="M18" i="7"/>
  <c r="J9" i="12"/>
  <c r="M9" i="16"/>
  <c r="AX31" i="15"/>
  <c r="AS25" i="13"/>
  <c r="M18" i="6"/>
  <c r="F46" i="3"/>
  <c r="Y25" i="15"/>
  <c r="N26" i="14"/>
  <c r="N26" i="15"/>
  <c r="N26" i="13"/>
  <c r="N26" i="16"/>
  <c r="F46" i="4"/>
  <c r="P42" i="3"/>
  <c r="D42" i="1"/>
  <c r="C18" i="5"/>
  <c r="P8" i="5"/>
  <c r="F10" i="12"/>
  <c r="F53" i="12"/>
  <c r="AF9" i="13"/>
  <c r="AH9" i="16"/>
  <c r="AH9" i="15"/>
  <c r="AH18" i="7"/>
  <c r="V25" i="15"/>
  <c r="I46" i="6"/>
  <c r="K46" i="7"/>
  <c r="P45" i="4"/>
  <c r="E45" i="1"/>
  <c r="U26" i="14"/>
  <c r="U27" i="14"/>
  <c r="U26" i="16"/>
  <c r="U26" i="15"/>
  <c r="U27" i="15"/>
  <c r="U54" i="15"/>
  <c r="AM26" i="13"/>
  <c r="AM27" i="13"/>
  <c r="AM54" i="13"/>
  <c r="AO26" i="15"/>
  <c r="AO27" i="15"/>
  <c r="AO26" i="16"/>
  <c r="AE26" i="13"/>
  <c r="AE27" i="13"/>
  <c r="AE54" i="13"/>
  <c r="AG26" i="15"/>
  <c r="AG27" i="15"/>
  <c r="AG54" i="15"/>
  <c r="AG26" i="16"/>
  <c r="AV26" i="16"/>
  <c r="AT26" i="13"/>
  <c r="AT27" i="13"/>
  <c r="AT54" i="13"/>
  <c r="AV26" i="14"/>
  <c r="AV27" i="14"/>
  <c r="AV54" i="14"/>
  <c r="AP10" i="14"/>
  <c r="AP53" i="14"/>
  <c r="K33" i="23"/>
  <c r="AQ44" i="7"/>
  <c r="AQ46" i="7"/>
  <c r="D44" i="6"/>
  <c r="AH26" i="13"/>
  <c r="AH27" i="13"/>
  <c r="AJ26" i="16"/>
  <c r="AJ26" i="15"/>
  <c r="AJ27" i="15"/>
  <c r="AJ54" i="15"/>
  <c r="AE31" i="14"/>
  <c r="AE54" i="16"/>
  <c r="H15" i="19"/>
  <c r="I15" i="23"/>
  <c r="AO9" i="14"/>
  <c r="AO10" i="16"/>
  <c r="AO17" i="16"/>
  <c r="P35" i="3"/>
  <c r="C46" i="3"/>
  <c r="T31" i="13"/>
  <c r="D29" i="7"/>
  <c r="D74" i="7"/>
  <c r="D76" i="7"/>
  <c r="D29" i="2"/>
  <c r="G29" i="2"/>
  <c r="C29" i="1"/>
  <c r="I29" i="1"/>
  <c r="D91" i="8"/>
  <c r="P8" i="6"/>
  <c r="AO11" i="13"/>
  <c r="AO12" i="13"/>
  <c r="AQ11" i="16"/>
  <c r="AQ11" i="14"/>
  <c r="AQ12" i="14"/>
  <c r="AQ9" i="7"/>
  <c r="AQ18" i="7"/>
  <c r="AQ76" i="8"/>
  <c r="D9" i="6"/>
  <c r="D18" i="6"/>
  <c r="H15" i="18"/>
  <c r="AJ9" i="13"/>
  <c r="AL9" i="16"/>
  <c r="AL9" i="15"/>
  <c r="AL18" i="7"/>
  <c r="V46" i="7"/>
  <c r="N10" i="12"/>
  <c r="N53" i="12"/>
  <c r="M9" i="12"/>
  <c r="P9" i="13"/>
  <c r="P9" i="14"/>
  <c r="P9" i="16"/>
  <c r="P9" i="15"/>
  <c r="P18" i="7"/>
  <c r="AD25" i="13"/>
  <c r="AX11" i="15"/>
  <c r="AX12" i="16"/>
  <c r="AX12" i="15"/>
  <c r="D10" i="16"/>
  <c r="D53" i="16"/>
  <c r="AE26" i="14"/>
  <c r="AE27" i="16"/>
  <c r="AE27" i="14"/>
  <c r="C24" i="11"/>
  <c r="BA13" i="15"/>
  <c r="BA14" i="16"/>
  <c r="BA14" i="15"/>
  <c r="BA11" i="15"/>
  <c r="BA12" i="16"/>
  <c r="BA12" i="15"/>
  <c r="P64" i="3"/>
  <c r="D64" i="1"/>
  <c r="G43" i="7"/>
  <c r="D43" i="3"/>
  <c r="Y26" i="15"/>
  <c r="Y27" i="15"/>
  <c r="Y26" i="16"/>
  <c r="Y26" i="14"/>
  <c r="Y27" i="14"/>
  <c r="AL14" i="16"/>
  <c r="AL14" i="14"/>
  <c r="AL13" i="14"/>
  <c r="E25" i="11"/>
  <c r="E26" i="11"/>
  <c r="E26" i="13"/>
  <c r="E27" i="13"/>
  <c r="E26" i="14"/>
  <c r="E27" i="14"/>
  <c r="E26" i="16"/>
  <c r="E27" i="16"/>
  <c r="E26" i="15"/>
  <c r="E27" i="15"/>
  <c r="AH31" i="14"/>
  <c r="J46" i="5"/>
  <c r="X25" i="13"/>
  <c r="AP14" i="16"/>
  <c r="AP14" i="15"/>
  <c r="AP13" i="15"/>
  <c r="Z46" i="7"/>
  <c r="C54" i="15"/>
  <c r="AY25" i="14"/>
  <c r="D31" i="12"/>
  <c r="F8" i="19"/>
  <c r="F10" i="23"/>
  <c r="AK9" i="13"/>
  <c r="AM9" i="16"/>
  <c r="AM9" i="15"/>
  <c r="AM18" i="7"/>
  <c r="Y25" i="14"/>
  <c r="AU14" i="16"/>
  <c r="AU14" i="15"/>
  <c r="AU13" i="15"/>
  <c r="V24" i="13"/>
  <c r="V25" i="16"/>
  <c r="V25" i="13"/>
  <c r="R26" i="14"/>
  <c r="R27" i="14"/>
  <c r="R26" i="15"/>
  <c r="R27" i="15"/>
  <c r="R54" i="15"/>
  <c r="R26" i="16"/>
  <c r="G10" i="20"/>
  <c r="G12" i="20"/>
  <c r="H8" i="20"/>
  <c r="AY26" i="14"/>
  <c r="AY27" i="14"/>
  <c r="AY54" i="14"/>
  <c r="AW26" i="13"/>
  <c r="AW27" i="13"/>
  <c r="AW54" i="13"/>
  <c r="AY26" i="16"/>
  <c r="AP9" i="15"/>
  <c r="AP10" i="16"/>
  <c r="AP17" i="16"/>
  <c r="Y9" i="13"/>
  <c r="Y10" i="16"/>
  <c r="Y17" i="16"/>
  <c r="S9" i="16"/>
  <c r="S9" i="14"/>
  <c r="S9" i="15"/>
  <c r="S18" i="7"/>
  <c r="AY9" i="16"/>
  <c r="AY9" i="14"/>
  <c r="AW9" i="13"/>
  <c r="AY18" i="7"/>
  <c r="AQ39" i="7"/>
  <c r="D39" i="6"/>
  <c r="P39" i="6"/>
  <c r="G39" i="1"/>
  <c r="AV25" i="16"/>
  <c r="AV25" i="15"/>
  <c r="AV24" i="15"/>
  <c r="H31" i="24"/>
  <c r="J41" i="16"/>
  <c r="G41" i="12"/>
  <c r="B32" i="24"/>
  <c r="E31" i="24"/>
  <c r="G31" i="24"/>
  <c r="L18" i="3"/>
  <c r="AO10" i="15"/>
  <c r="AO53" i="15"/>
  <c r="AO17" i="15"/>
  <c r="AB27" i="15"/>
  <c r="AB54" i="15"/>
  <c r="M26" i="12"/>
  <c r="P27" i="16"/>
  <c r="F46" i="7"/>
  <c r="AS24" i="15"/>
  <c r="AS25" i="16"/>
  <c r="AS25" i="15"/>
  <c r="AR31" i="15"/>
  <c r="BA25" i="16"/>
  <c r="BA25" i="15"/>
  <c r="BA24" i="15"/>
  <c r="Z26" i="14"/>
  <c r="Z27" i="14"/>
  <c r="Z26" i="15"/>
  <c r="Z27" i="15"/>
  <c r="Z54" i="15"/>
  <c r="Z26" i="16"/>
  <c r="AO13" i="14"/>
  <c r="AO14" i="16"/>
  <c r="AO14" i="14"/>
  <c r="AM31" i="14"/>
  <c r="AM54" i="14"/>
  <c r="E172" i="8"/>
  <c r="E174" i="8"/>
  <c r="K31" i="24"/>
  <c r="J32" i="24"/>
  <c r="AN10" i="13"/>
  <c r="AN53" i="13"/>
  <c r="Y10" i="15"/>
  <c r="Y53" i="15"/>
  <c r="N46" i="3"/>
  <c r="I26" i="12"/>
  <c r="L27" i="16"/>
  <c r="I9" i="12"/>
  <c r="L9" i="13"/>
  <c r="L9" i="15"/>
  <c r="L9" i="16"/>
  <c r="L9" i="14"/>
  <c r="L18" i="7"/>
  <c r="AD46" i="7"/>
  <c r="AQ31" i="15"/>
  <c r="BC31" i="15"/>
  <c r="AJ25" i="16"/>
  <c r="AJ24" i="14"/>
  <c r="AL9" i="13"/>
  <c r="AN9" i="15"/>
  <c r="AN9" i="16"/>
  <c r="AN18" i="7"/>
  <c r="AI31" i="14"/>
  <c r="H37" i="20"/>
  <c r="I33" i="20"/>
  <c r="L9" i="12"/>
  <c r="O9" i="13"/>
  <c r="O9" i="16"/>
  <c r="O9" i="15"/>
  <c r="O9" i="14"/>
  <c r="O18" i="7"/>
  <c r="AS9" i="13"/>
  <c r="AU9" i="16"/>
  <c r="AU9" i="14"/>
  <c r="AU18" i="7"/>
  <c r="AM17" i="13"/>
  <c r="AM10" i="13"/>
  <c r="AM53" i="13"/>
  <c r="K46" i="6"/>
  <c r="AB26" i="13"/>
  <c r="AB27" i="16"/>
  <c r="Z25" i="16"/>
  <c r="Z25" i="13"/>
  <c r="Z24" i="13"/>
  <c r="AC14" i="16"/>
  <c r="AC14" i="13"/>
  <c r="AC13" i="13"/>
  <c r="AY26" i="13"/>
  <c r="BA26" i="14"/>
  <c r="BA27" i="14"/>
  <c r="BA54" i="14"/>
  <c r="BA26" i="16"/>
  <c r="AO25" i="16"/>
  <c r="AO25" i="14"/>
  <c r="AO24" i="14"/>
  <c r="BA25" i="14"/>
  <c r="D13" i="12"/>
  <c r="P13" i="12"/>
  <c r="G13" i="13"/>
  <c r="G13" i="16"/>
  <c r="G14" i="16"/>
  <c r="D14" i="12"/>
  <c r="P14" i="12"/>
  <c r="G13" i="14"/>
  <c r="G17" i="7"/>
  <c r="G18" i="7"/>
  <c r="G13" i="15"/>
  <c r="D17" i="3"/>
  <c r="P17" i="3"/>
  <c r="D17" i="1"/>
  <c r="AG46" i="7"/>
  <c r="AN13" i="14"/>
  <c r="AN14" i="16"/>
  <c r="AN14" i="14"/>
  <c r="AR9" i="13"/>
  <c r="AT9" i="16"/>
  <c r="AT9" i="14"/>
  <c r="AT18" i="7"/>
  <c r="AU26" i="13"/>
  <c r="AW26" i="16"/>
  <c r="AW26" i="14"/>
  <c r="AP11" i="15"/>
  <c r="AP12" i="16"/>
  <c r="AP12" i="15"/>
  <c r="P28" i="12"/>
  <c r="P43" i="5"/>
  <c r="F43" i="1"/>
  <c r="AA27" i="14"/>
  <c r="AA54" i="14"/>
  <c r="AN46" i="7"/>
  <c r="BA32" i="13"/>
  <c r="AF46" i="7"/>
  <c r="AW10" i="14"/>
  <c r="AW53" i="14"/>
  <c r="AW25" i="15"/>
  <c r="E46" i="7"/>
  <c r="AC9" i="14"/>
  <c r="AC9" i="15"/>
  <c r="AC18" i="7"/>
  <c r="AC9" i="16"/>
  <c r="P39" i="5"/>
  <c r="F39" i="1"/>
  <c r="R25" i="14"/>
  <c r="J10" i="13"/>
  <c r="J53" i="13"/>
  <c r="G10" i="12"/>
  <c r="G53" i="12"/>
  <c r="G17" i="12"/>
  <c r="P64" i="5"/>
  <c r="F64" i="1"/>
  <c r="AT46" i="7"/>
  <c r="Q10" i="15"/>
  <c r="Q53" i="15"/>
  <c r="Q17" i="15"/>
  <c r="AT9" i="13"/>
  <c r="AV9" i="14"/>
  <c r="AV9" i="16"/>
  <c r="AV18" i="7"/>
  <c r="AF25" i="15"/>
  <c r="D17" i="14"/>
  <c r="D10" i="14"/>
  <c r="D53" i="14"/>
  <c r="D10" i="13"/>
  <c r="D53" i="13"/>
  <c r="AS26" i="13"/>
  <c r="AS27" i="13"/>
  <c r="AS54" i="13"/>
  <c r="AU26" i="14"/>
  <c r="AU27" i="14"/>
  <c r="AU54" i="14"/>
  <c r="AU26" i="16"/>
  <c r="I32" i="25"/>
  <c r="D33" i="25"/>
  <c r="C37" i="25"/>
  <c r="C25" i="14"/>
  <c r="C37" i="14"/>
  <c r="C44" i="14"/>
  <c r="AN25" i="15"/>
  <c r="S31" i="13"/>
  <c r="I26" i="13"/>
  <c r="I26" i="15"/>
  <c r="I27" i="15"/>
  <c r="I54" i="15"/>
  <c r="I26" i="16"/>
  <c r="I26" i="14"/>
  <c r="G24" i="12"/>
  <c r="J25" i="16"/>
  <c r="G25" i="12"/>
  <c r="AQ26" i="13"/>
  <c r="AQ27" i="13"/>
  <c r="AQ54" i="13"/>
  <c r="AS26" i="14"/>
  <c r="AS27" i="14"/>
  <c r="AS54" i="14"/>
  <c r="AS26" i="16"/>
  <c r="AS46" i="7"/>
  <c r="P32" i="12"/>
  <c r="Y46" i="7"/>
  <c r="G39" i="7"/>
  <c r="D39" i="3"/>
  <c r="P39" i="3"/>
  <c r="D39" i="1"/>
  <c r="I39" i="1"/>
  <c r="C18" i="2"/>
  <c r="C76" i="2"/>
  <c r="G8" i="2"/>
  <c r="C24" i="12"/>
  <c r="F25" i="16"/>
  <c r="C25" i="12"/>
  <c r="P35" i="4"/>
  <c r="C46" i="4"/>
  <c r="AC12" i="16"/>
  <c r="AC12" i="13"/>
  <c r="AC11" i="13"/>
  <c r="G46" i="3"/>
  <c r="N46" i="5"/>
  <c r="BA46" i="7"/>
  <c r="D61" i="1"/>
  <c r="I56" i="1"/>
  <c r="I61" i="1"/>
  <c r="K46" i="3"/>
  <c r="AY31" i="15"/>
  <c r="H23" i="20"/>
  <c r="I23" i="20"/>
  <c r="U25" i="16"/>
  <c r="U24" i="13"/>
  <c r="AV26" i="13"/>
  <c r="AX26" i="14"/>
  <c r="AX26" i="16"/>
  <c r="AZ25" i="14"/>
  <c r="S27" i="15"/>
  <c r="S54" i="15"/>
  <c r="I37" i="21"/>
  <c r="J33" i="21"/>
  <c r="H18" i="3"/>
  <c r="AO24" i="13"/>
  <c r="AQ24" i="14"/>
  <c r="AQ24" i="16"/>
  <c r="AQ9" i="16"/>
  <c r="AO9" i="13"/>
  <c r="AQ9" i="14"/>
  <c r="AV9" i="13"/>
  <c r="AX9" i="16"/>
  <c r="AX9" i="14"/>
  <c r="AX18" i="7"/>
  <c r="AW46" i="7"/>
  <c r="BA28" i="13"/>
  <c r="G46" i="5"/>
  <c r="BC32" i="15"/>
  <c r="C54" i="13"/>
  <c r="K18" i="4"/>
  <c r="D18" i="2"/>
  <c r="W9" i="16"/>
  <c r="W9" i="15"/>
  <c r="W18" i="7"/>
  <c r="W9" i="14"/>
  <c r="AX9" i="13"/>
  <c r="AZ9" i="16"/>
  <c r="AZ18" i="7"/>
  <c r="AZ9" i="14"/>
  <c r="I46" i="7"/>
  <c r="P17" i="5"/>
  <c r="F17" i="1"/>
  <c r="P44" i="6"/>
  <c r="G44" i="1"/>
  <c r="AD9" i="16"/>
  <c r="AD9" i="15"/>
  <c r="AD18" i="7"/>
  <c r="I10" i="16"/>
  <c r="I53" i="16"/>
  <c r="I17" i="16"/>
  <c r="F26" i="14"/>
  <c r="F27" i="14"/>
  <c r="F54" i="14"/>
  <c r="F26" i="15"/>
  <c r="F27" i="15"/>
  <c r="F26" i="13"/>
  <c r="F27" i="13"/>
  <c r="F54" i="13"/>
  <c r="F26" i="16"/>
  <c r="M26" i="13"/>
  <c r="M26" i="14"/>
  <c r="M26" i="16"/>
  <c r="M26" i="15"/>
  <c r="M27" i="15"/>
  <c r="M54" i="15"/>
  <c r="P44" i="3"/>
  <c r="D44" i="1"/>
  <c r="I44" i="1"/>
  <c r="P39" i="4"/>
  <c r="E39" i="1"/>
  <c r="P44" i="4"/>
  <c r="E44" i="1"/>
  <c r="P45" i="5"/>
  <c r="F45" i="1"/>
  <c r="AJ26" i="13"/>
  <c r="AJ27" i="13"/>
  <c r="AJ54" i="13"/>
  <c r="AL26" i="15"/>
  <c r="AL26" i="16"/>
  <c r="AP26" i="13"/>
  <c r="AP27" i="13"/>
  <c r="AP54" i="13"/>
  <c r="AR26" i="16"/>
  <c r="AR26" i="14"/>
  <c r="AR27" i="14"/>
  <c r="AR54" i="14"/>
  <c r="AQ142" i="8"/>
  <c r="AB31" i="13"/>
  <c r="G10" i="21"/>
  <c r="G12" i="21"/>
  <c r="H8" i="21"/>
  <c r="I23" i="22"/>
  <c r="J23" i="22"/>
  <c r="AE9" i="16"/>
  <c r="AE9" i="15"/>
  <c r="AE18" i="7"/>
  <c r="AH9" i="13"/>
  <c r="AJ9" i="15"/>
  <c r="AJ9" i="16"/>
  <c r="AJ18" i="7"/>
  <c r="AP25" i="13"/>
  <c r="AA31" i="13"/>
  <c r="Z25" i="14"/>
  <c r="AK25" i="14"/>
  <c r="E74" i="2"/>
  <c r="E76" i="2"/>
  <c r="F37" i="22"/>
  <c r="G33" i="22"/>
  <c r="AA26" i="13"/>
  <c r="AA27" i="16"/>
  <c r="AA27" i="13"/>
  <c r="P64" i="4"/>
  <c r="E64" i="1"/>
  <c r="R31" i="13"/>
  <c r="X27" i="14"/>
  <c r="X54" i="14"/>
  <c r="R25" i="16"/>
  <c r="R25" i="13"/>
  <c r="R24" i="13"/>
  <c r="K32" i="25"/>
  <c r="J33" i="25"/>
  <c r="J10" i="15"/>
  <c r="J53" i="15"/>
  <c r="J55" i="15"/>
  <c r="BC32" i="14"/>
  <c r="O25" i="16"/>
  <c r="L25" i="12"/>
  <c r="L24" i="12"/>
  <c r="P44" i="5"/>
  <c r="F44" i="1"/>
  <c r="C25" i="16"/>
  <c r="C37" i="16"/>
  <c r="C44" i="16"/>
  <c r="AC46" i="7"/>
  <c r="AK13" i="14"/>
  <c r="AK14" i="16"/>
  <c r="AK14" i="14"/>
  <c r="D46" i="2"/>
  <c r="D74" i="2"/>
  <c r="P42" i="4"/>
  <c r="E42" i="1"/>
  <c r="I42" i="1"/>
  <c r="E26" i="12"/>
  <c r="H27" i="16"/>
  <c r="AY14" i="16"/>
  <c r="AY14" i="15"/>
  <c r="AY13" i="15"/>
  <c r="AG10" i="15"/>
  <c r="AG53" i="15"/>
  <c r="AG55" i="15"/>
  <c r="AB9" i="15"/>
  <c r="AB9" i="16"/>
  <c r="AB9" i="14"/>
  <c r="AB18" i="7"/>
  <c r="P64" i="6"/>
  <c r="G64" i="1"/>
  <c r="AR26" i="13"/>
  <c r="AT26" i="14"/>
  <c r="AT26" i="16"/>
  <c r="AU24" i="15"/>
  <c r="AU25" i="16"/>
  <c r="AU25" i="15"/>
  <c r="T9" i="15"/>
  <c r="T9" i="16"/>
  <c r="T18" i="7"/>
  <c r="T9" i="14"/>
  <c r="U46" i="7"/>
  <c r="I10" i="13"/>
  <c r="I53" i="13"/>
  <c r="I10" i="14"/>
  <c r="I53" i="14"/>
  <c r="AC24" i="13"/>
  <c r="AC25" i="16"/>
  <c r="AC25" i="13"/>
  <c r="H46" i="3"/>
  <c r="AC26" i="14"/>
  <c r="AC27" i="14"/>
  <c r="AC54" i="14"/>
  <c r="AC26" i="16"/>
  <c r="AC26" i="15"/>
  <c r="AC27" i="15"/>
  <c r="AC54" i="15"/>
  <c r="Q26" i="15"/>
  <c r="Q26" i="16"/>
  <c r="Q26" i="13"/>
  <c r="Q26" i="14"/>
  <c r="AD26" i="15"/>
  <c r="AD26" i="16"/>
  <c r="X9" i="14"/>
  <c r="X9" i="15"/>
  <c r="X18" i="7"/>
  <c r="X9" i="16"/>
  <c r="U9" i="14"/>
  <c r="U9" i="15"/>
  <c r="U18" i="7"/>
  <c r="U9" i="16"/>
  <c r="P35" i="5"/>
  <c r="C46" i="5"/>
  <c r="H18" i="6"/>
  <c r="AR24" i="15"/>
  <c r="AR25" i="16"/>
  <c r="AR25" i="15"/>
  <c r="P38" i="3"/>
  <c r="D38" i="1"/>
  <c r="I38" i="1"/>
  <c r="F46" i="5"/>
  <c r="N9" i="16"/>
  <c r="N9" i="13"/>
  <c r="N9" i="14"/>
  <c r="N9" i="15"/>
  <c r="N18" i="7"/>
  <c r="K9" i="12"/>
  <c r="AZ31" i="15"/>
  <c r="AI26" i="14"/>
  <c r="AI27" i="16"/>
  <c r="AI27" i="14"/>
  <c r="Y10" i="14"/>
  <c r="Y53" i="14"/>
  <c r="Y17" i="14"/>
  <c r="D53" i="1"/>
  <c r="I49" i="1"/>
  <c r="I53" i="1"/>
  <c r="AI9" i="16"/>
  <c r="AG9" i="13"/>
  <c r="AI9" i="15"/>
  <c r="AI18" i="7"/>
  <c r="Q46" i="7"/>
  <c r="L27" i="13"/>
  <c r="L54" i="13"/>
  <c r="AQ37" i="7"/>
  <c r="D37" i="6"/>
  <c r="D46" i="6"/>
  <c r="BC29" i="15"/>
  <c r="AQ9" i="13"/>
  <c r="AS9" i="14"/>
  <c r="AS18" i="7"/>
  <c r="AS9" i="16"/>
  <c r="AF26" i="13"/>
  <c r="AH26" i="15"/>
  <c r="AH26" i="16"/>
  <c r="AX46" i="7"/>
  <c r="P27" i="15"/>
  <c r="P54" i="15"/>
  <c r="I18" i="5"/>
  <c r="AS13" i="15"/>
  <c r="AS14" i="16"/>
  <c r="AS14" i="15"/>
  <c r="Z25" i="15"/>
  <c r="K26" i="13"/>
  <c r="K27" i="13"/>
  <c r="K54" i="13"/>
  <c r="K26" i="14"/>
  <c r="K27" i="14"/>
  <c r="K54" i="14"/>
  <c r="K26" i="15"/>
  <c r="K27" i="15"/>
  <c r="K26" i="16"/>
  <c r="AQ25" i="13"/>
  <c r="Z14" i="16"/>
  <c r="Z14" i="13"/>
  <c r="Z13" i="13"/>
  <c r="AO25" i="15"/>
  <c r="AW11" i="15"/>
  <c r="AW12" i="16"/>
  <c r="AW12" i="15"/>
  <c r="AJ14" i="16"/>
  <c r="AJ14" i="14"/>
  <c r="AJ13" i="14"/>
  <c r="L31" i="12"/>
  <c r="E74" i="7"/>
  <c r="E76" i="7"/>
  <c r="P9" i="6"/>
  <c r="G9" i="1"/>
  <c r="M46" i="7"/>
  <c r="M46" i="5"/>
  <c r="AG25" i="16"/>
  <c r="AG25" i="14"/>
  <c r="AG24" i="14"/>
  <c r="E46" i="5"/>
  <c r="V26" i="14"/>
  <c r="V26" i="15"/>
  <c r="V27" i="15"/>
  <c r="V54" i="15"/>
  <c r="V26" i="16"/>
  <c r="AU17" i="13"/>
  <c r="AU10" i="13"/>
  <c r="AU53" i="13"/>
  <c r="C18" i="6"/>
  <c r="AF26" i="16"/>
  <c r="AD26" i="13"/>
  <c r="AD27" i="13"/>
  <c r="AD54" i="13"/>
  <c r="AF26" i="15"/>
  <c r="AF27" i="15"/>
  <c r="AF54" i="15"/>
  <c r="E46" i="2"/>
  <c r="N18" i="4"/>
  <c r="F9" i="16"/>
  <c r="F9" i="13"/>
  <c r="F9" i="14"/>
  <c r="F9" i="15"/>
  <c r="C9" i="12"/>
  <c r="F18" i="7"/>
  <c r="BC29" i="14"/>
  <c r="G46" i="4"/>
  <c r="J17" i="16"/>
  <c r="J10" i="16"/>
  <c r="J53" i="16"/>
  <c r="Q10" i="13"/>
  <c r="Q53" i="13"/>
  <c r="Q10" i="14"/>
  <c r="Q53" i="14"/>
  <c r="P35" i="6"/>
  <c r="G35" i="1"/>
  <c r="C46" i="6"/>
  <c r="AX26" i="13"/>
  <c r="AX27" i="13"/>
  <c r="AX54" i="13"/>
  <c r="AZ26" i="16"/>
  <c r="AZ26" i="14"/>
  <c r="AZ27" i="14"/>
  <c r="AF24" i="14"/>
  <c r="AF25" i="16"/>
  <c r="AF25" i="14"/>
  <c r="D10" i="11"/>
  <c r="D16" i="11"/>
  <c r="O25" i="13"/>
  <c r="P43" i="4"/>
  <c r="E43" i="1"/>
  <c r="D172" i="8"/>
  <c r="D174" i="8"/>
  <c r="J25" i="15"/>
  <c r="AU31" i="15"/>
  <c r="D46" i="7"/>
  <c r="O26" i="13"/>
  <c r="O27" i="13"/>
  <c r="O54" i="13"/>
  <c r="O26" i="14"/>
  <c r="O27" i="14"/>
  <c r="O54" i="14"/>
  <c r="O26" i="15"/>
  <c r="O26" i="16"/>
  <c r="C9" i="13"/>
  <c r="C9" i="16"/>
  <c r="C9" i="14"/>
  <c r="C9" i="11"/>
  <c r="C9" i="15"/>
  <c r="C18" i="7"/>
  <c r="C76" i="7"/>
  <c r="F25" i="15"/>
  <c r="R46" i="7"/>
  <c r="Z11" i="13"/>
  <c r="Z12" i="16"/>
  <c r="Z12" i="13"/>
  <c r="H24" i="12"/>
  <c r="K25" i="16"/>
  <c r="AR14" i="16"/>
  <c r="AR14" i="15"/>
  <c r="AR13" i="15"/>
  <c r="H27" i="14"/>
  <c r="H54" i="14"/>
  <c r="H15" i="22"/>
  <c r="G18" i="22"/>
  <c r="N46" i="7"/>
  <c r="AD9" i="13"/>
  <c r="AF9" i="15"/>
  <c r="AF9" i="16"/>
  <c r="AF18" i="7"/>
  <c r="AN26" i="13"/>
  <c r="AP26" i="14"/>
  <c r="AP26" i="16"/>
  <c r="AK46" i="7"/>
  <c r="U25" i="14"/>
  <c r="AO11" i="14"/>
  <c r="BC11" i="14"/>
  <c r="AO12" i="16"/>
  <c r="AO12" i="14"/>
  <c r="AM26" i="14"/>
  <c r="AM27" i="16"/>
  <c r="AM27" i="14"/>
  <c r="AX25" i="13"/>
  <c r="S27" i="14"/>
  <c r="S54" i="14"/>
  <c r="H9" i="12"/>
  <c r="K9" i="13"/>
  <c r="K9" i="16"/>
  <c r="K9" i="14"/>
  <c r="K9" i="15"/>
  <c r="K18" i="7"/>
  <c r="AG9" i="14"/>
  <c r="AG10" i="16"/>
  <c r="AG17" i="16"/>
  <c r="AY9" i="13"/>
  <c r="BA9" i="14"/>
  <c r="BA18" i="7"/>
  <c r="BA9" i="16"/>
  <c r="K46" i="4"/>
  <c r="G25" i="11"/>
  <c r="C26" i="11"/>
  <c r="C36" i="11"/>
  <c r="C43" i="11"/>
  <c r="AY24" i="15"/>
  <c r="AY25" i="16"/>
  <c r="Z9" i="16"/>
  <c r="Z9" i="14"/>
  <c r="Z9" i="15"/>
  <c r="Z18" i="7"/>
  <c r="G15" i="21"/>
  <c r="F18" i="21"/>
  <c r="E9" i="12"/>
  <c r="H9" i="13"/>
  <c r="H9" i="14"/>
  <c r="H9" i="15"/>
  <c r="H18" i="7"/>
  <c r="H9" i="16"/>
  <c r="H33" i="25"/>
  <c r="B34" i="25"/>
  <c r="E33" i="25"/>
  <c r="G33" i="25"/>
  <c r="E33" i="11"/>
  <c r="G33" i="11"/>
  <c r="E34" i="13"/>
  <c r="E34" i="14"/>
  <c r="E34" i="16"/>
  <c r="E34" i="15"/>
  <c r="P42" i="6"/>
  <c r="G42" i="1"/>
  <c r="Y24" i="13"/>
  <c r="Y25" i="16"/>
  <c r="Y25" i="13"/>
  <c r="H31" i="12"/>
  <c r="P31" i="12"/>
  <c r="AF13" i="14"/>
  <c r="BC13" i="14"/>
  <c r="AF14" i="16"/>
  <c r="AF14" i="14"/>
  <c r="BC14" i="14"/>
  <c r="AV14" i="16"/>
  <c r="AV14" i="15"/>
  <c r="AV13" i="15"/>
  <c r="AZ14" i="16"/>
  <c r="AZ14" i="15"/>
  <c r="AZ13" i="15"/>
  <c r="T26" i="13"/>
  <c r="T27" i="16"/>
  <c r="T54" i="16"/>
  <c r="I10" i="15"/>
  <c r="I53" i="15"/>
  <c r="I17" i="15"/>
  <c r="P38" i="4"/>
  <c r="E38" i="1"/>
  <c r="P45" i="3"/>
  <c r="D45" i="1"/>
  <c r="I45" i="1"/>
  <c r="AC25" i="15"/>
  <c r="G35" i="2"/>
  <c r="AI26" i="13"/>
  <c r="AK26" i="16"/>
  <c r="AK26" i="15"/>
  <c r="G37" i="7"/>
  <c r="G46" i="7"/>
  <c r="D37" i="3"/>
  <c r="P37" i="3"/>
  <c r="D37" i="1"/>
  <c r="I37" i="1"/>
  <c r="J26" i="13"/>
  <c r="J27" i="13"/>
  <c r="J54" i="13"/>
  <c r="J26" i="14"/>
  <c r="J27" i="14"/>
  <c r="J54" i="14"/>
  <c r="J26" i="15"/>
  <c r="J27" i="15"/>
  <c r="J54" i="15"/>
  <c r="J26" i="16"/>
  <c r="C37" i="13"/>
  <c r="C44" i="13"/>
  <c r="P37" i="6"/>
  <c r="G37" i="1"/>
  <c r="AN26" i="16"/>
  <c r="AL26" i="13"/>
  <c r="AL27" i="13"/>
  <c r="AL54" i="13"/>
  <c r="AN26" i="15"/>
  <c r="AN27" i="15"/>
  <c r="AN54" i="15"/>
  <c r="P43" i="3"/>
  <c r="D43" i="1"/>
  <c r="I43" i="1"/>
  <c r="H12" i="21"/>
  <c r="I8" i="21"/>
  <c r="H10" i="21"/>
  <c r="H10" i="20"/>
  <c r="H12" i="20"/>
  <c r="I8" i="20"/>
  <c r="D80" i="7"/>
  <c r="D78" i="7"/>
  <c r="H12" i="18"/>
  <c r="I8" i="18"/>
  <c r="H10" i="18"/>
  <c r="AK27" i="15"/>
  <c r="AK54" i="15"/>
  <c r="H17" i="14"/>
  <c r="H10" i="14"/>
  <c r="H53" i="14"/>
  <c r="H55" i="14"/>
  <c r="AN27" i="13"/>
  <c r="AN54" i="13"/>
  <c r="AD17" i="13"/>
  <c r="AD10" i="13"/>
  <c r="AD53" i="13"/>
  <c r="AD55" i="13"/>
  <c r="AE42" i="13"/>
  <c r="C17" i="14"/>
  <c r="C46" i="14"/>
  <c r="C50" i="14"/>
  <c r="D48" i="14"/>
  <c r="C10" i="14"/>
  <c r="C53" i="14"/>
  <c r="C55" i="14"/>
  <c r="F17" i="16"/>
  <c r="F10" i="16"/>
  <c r="F53" i="16"/>
  <c r="AF27" i="13"/>
  <c r="AF54" i="13"/>
  <c r="AG10" i="13"/>
  <c r="AG53" i="13"/>
  <c r="AG55" i="13"/>
  <c r="BA31" i="13"/>
  <c r="AA54" i="16"/>
  <c r="M27" i="13"/>
  <c r="M54" i="13"/>
  <c r="W10" i="15"/>
  <c r="W53" i="15"/>
  <c r="W55" i="15"/>
  <c r="AQ17" i="14"/>
  <c r="AQ10" i="14"/>
  <c r="AQ53" i="14"/>
  <c r="AC10" i="15"/>
  <c r="AC53" i="15"/>
  <c r="AC55" i="15"/>
  <c r="I17" i="1"/>
  <c r="AB27" i="13"/>
  <c r="AS10" i="13"/>
  <c r="AS53" i="13"/>
  <c r="AS55" i="13"/>
  <c r="AM10" i="16"/>
  <c r="AM17" i="16"/>
  <c r="AM9" i="14"/>
  <c r="D46" i="3"/>
  <c r="Y26" i="13"/>
  <c r="Y27" i="16"/>
  <c r="P10" i="15"/>
  <c r="P53" i="15"/>
  <c r="P55" i="15"/>
  <c r="M17" i="12"/>
  <c r="M10" i="12"/>
  <c r="M53" i="12"/>
  <c r="I15" i="18"/>
  <c r="G8" i="1"/>
  <c r="G18" i="1"/>
  <c r="P18" i="6"/>
  <c r="I15" i="19"/>
  <c r="J15" i="23"/>
  <c r="AO27" i="16"/>
  <c r="AO26" i="14"/>
  <c r="AF17" i="13"/>
  <c r="AF10" i="13"/>
  <c r="AF53" i="13"/>
  <c r="AF55" i="13"/>
  <c r="N27" i="14"/>
  <c r="N54" i="14"/>
  <c r="AA9" i="13"/>
  <c r="AA10" i="16"/>
  <c r="AA17" i="16"/>
  <c r="G10" i="15"/>
  <c r="G53" i="15"/>
  <c r="J33" i="18"/>
  <c r="I37" i="18"/>
  <c r="E25" i="15"/>
  <c r="E37" i="15"/>
  <c r="E44" i="15"/>
  <c r="E46" i="15"/>
  <c r="E24" i="11"/>
  <c r="E36" i="11"/>
  <c r="E43" i="11"/>
  <c r="E45" i="11"/>
  <c r="G25" i="15"/>
  <c r="BA14" i="13"/>
  <c r="AK10" i="15"/>
  <c r="AK53" i="15"/>
  <c r="AK55" i="15"/>
  <c r="X27" i="13"/>
  <c r="X54" i="13"/>
  <c r="X54" i="16"/>
  <c r="R10" i="14"/>
  <c r="R53" i="14"/>
  <c r="R17" i="14"/>
  <c r="V10" i="15"/>
  <c r="V53" i="15"/>
  <c r="V55" i="15"/>
  <c r="AR17" i="14"/>
  <c r="AR10" i="14"/>
  <c r="AR53" i="14"/>
  <c r="AR55" i="14"/>
  <c r="G26" i="13"/>
  <c r="G27" i="13"/>
  <c r="G54" i="13"/>
  <c r="G26" i="14"/>
  <c r="G27" i="14"/>
  <c r="G26" i="15"/>
  <c r="G27" i="15"/>
  <c r="G54" i="15"/>
  <c r="G26" i="16"/>
  <c r="H10" i="22"/>
  <c r="H12" i="22"/>
  <c r="I8" i="22"/>
  <c r="AN26" i="14"/>
  <c r="AN27" i="16"/>
  <c r="G26" i="12"/>
  <c r="J27" i="16"/>
  <c r="AK26" i="14"/>
  <c r="AK27" i="16"/>
  <c r="I55" i="15"/>
  <c r="L42" i="15"/>
  <c r="H10" i="16"/>
  <c r="H53" i="16"/>
  <c r="H17" i="13"/>
  <c r="H10" i="13"/>
  <c r="H53" i="13"/>
  <c r="H55" i="13"/>
  <c r="AY25" i="15"/>
  <c r="K10" i="15"/>
  <c r="K53" i="15"/>
  <c r="K55" i="15"/>
  <c r="H10" i="12"/>
  <c r="H53" i="12"/>
  <c r="I15" i="22"/>
  <c r="H18" i="22"/>
  <c r="C80" i="7"/>
  <c r="C78" i="7"/>
  <c r="C10" i="16"/>
  <c r="C53" i="16"/>
  <c r="C17" i="16"/>
  <c r="C46" i="16"/>
  <c r="C50" i="16"/>
  <c r="P46" i="6"/>
  <c r="Q17" i="13"/>
  <c r="F10" i="15"/>
  <c r="F53" i="15"/>
  <c r="AU55" i="13"/>
  <c r="V27" i="14"/>
  <c r="V54" i="14"/>
  <c r="K54" i="15"/>
  <c r="AQ17" i="13"/>
  <c r="AQ10" i="13"/>
  <c r="AQ53" i="13"/>
  <c r="AQ55" i="13"/>
  <c r="AI10" i="16"/>
  <c r="AI17" i="16"/>
  <c r="AI9" i="14"/>
  <c r="K10" i="12"/>
  <c r="K53" i="12"/>
  <c r="K17" i="12"/>
  <c r="N17" i="13"/>
  <c r="N10" i="13"/>
  <c r="N53" i="13"/>
  <c r="U9" i="13"/>
  <c r="U17" i="16"/>
  <c r="U10" i="16"/>
  <c r="X17" i="14"/>
  <c r="X10" i="14"/>
  <c r="X53" i="14"/>
  <c r="X55" i="14"/>
  <c r="Q27" i="13"/>
  <c r="Q54" i="13"/>
  <c r="Q55" i="13"/>
  <c r="AC26" i="13"/>
  <c r="AC27" i="16"/>
  <c r="I17" i="13"/>
  <c r="T17" i="15"/>
  <c r="T10" i="15"/>
  <c r="T53" i="15"/>
  <c r="T55" i="15"/>
  <c r="AT27" i="14"/>
  <c r="AT54" i="14"/>
  <c r="AG17" i="15"/>
  <c r="E27" i="12"/>
  <c r="E54" i="12"/>
  <c r="H54" i="16"/>
  <c r="K33" i="25"/>
  <c r="J34" i="25"/>
  <c r="AA54" i="13"/>
  <c r="AJ10" i="16"/>
  <c r="AJ17" i="16"/>
  <c r="AJ9" i="14"/>
  <c r="AQ26" i="14"/>
  <c r="AQ27" i="14"/>
  <c r="AO26" i="13"/>
  <c r="AO27" i="13"/>
  <c r="AQ26" i="16"/>
  <c r="AL27" i="15"/>
  <c r="AL54" i="15"/>
  <c r="AD10" i="15"/>
  <c r="AD53" i="15"/>
  <c r="AX17" i="13"/>
  <c r="AX10" i="13"/>
  <c r="AX53" i="13"/>
  <c r="AX55" i="13"/>
  <c r="W9" i="13"/>
  <c r="W10" i="16"/>
  <c r="W17" i="16"/>
  <c r="D76" i="2"/>
  <c r="C54" i="16"/>
  <c r="AX17" i="16"/>
  <c r="AX9" i="15"/>
  <c r="AX10" i="16"/>
  <c r="AO10" i="13"/>
  <c r="AO53" i="13"/>
  <c r="AO25" i="13"/>
  <c r="AX26" i="15"/>
  <c r="AX27" i="16"/>
  <c r="U25" i="13"/>
  <c r="I27" i="13"/>
  <c r="I54" i="13"/>
  <c r="I55" i="13"/>
  <c r="L42" i="13"/>
  <c r="D17" i="13"/>
  <c r="AV10" i="16"/>
  <c r="AV17" i="16"/>
  <c r="AV9" i="15"/>
  <c r="AC10" i="14"/>
  <c r="AC53" i="14"/>
  <c r="AC55" i="14"/>
  <c r="AW17" i="14"/>
  <c r="BA27" i="16"/>
  <c r="BA26" i="15"/>
  <c r="O17" i="13"/>
  <c r="O10" i="13"/>
  <c r="O53" i="13"/>
  <c r="O55" i="13"/>
  <c r="AI54" i="16"/>
  <c r="AN17" i="15"/>
  <c r="AN10" i="15"/>
  <c r="AN53" i="15"/>
  <c r="AN55" i="15"/>
  <c r="AJ25" i="14"/>
  <c r="L17" i="14"/>
  <c r="L10" i="14"/>
  <c r="L53" i="14"/>
  <c r="L55" i="14"/>
  <c r="I10" i="12"/>
  <c r="I53" i="12"/>
  <c r="I17" i="12"/>
  <c r="Z54" i="14"/>
  <c r="AW10" i="13"/>
  <c r="AW53" i="13"/>
  <c r="AW55" i="13"/>
  <c r="S10" i="15"/>
  <c r="S53" i="15"/>
  <c r="S55" i="15"/>
  <c r="Y10" i="13"/>
  <c r="Y53" i="13"/>
  <c r="Y53" i="16"/>
  <c r="R26" i="13"/>
  <c r="R27" i="16"/>
  <c r="AK10" i="13"/>
  <c r="AK53" i="13"/>
  <c r="AK55" i="13"/>
  <c r="Y54" i="15"/>
  <c r="Y55" i="15"/>
  <c r="D17" i="16"/>
  <c r="P10" i="16"/>
  <c r="P53" i="16"/>
  <c r="N17" i="12"/>
  <c r="AL10" i="15"/>
  <c r="AL53" i="15"/>
  <c r="AL55" i="15"/>
  <c r="AO10" i="14"/>
  <c r="AO53" i="14"/>
  <c r="AO53" i="16"/>
  <c r="AJ27" i="16"/>
  <c r="AJ26" i="14"/>
  <c r="AP17" i="14"/>
  <c r="AV26" i="15"/>
  <c r="AV27" i="16"/>
  <c r="AG27" i="16"/>
  <c r="AG26" i="14"/>
  <c r="AO54" i="15"/>
  <c r="F17" i="12"/>
  <c r="F8" i="1"/>
  <c r="F18" i="1"/>
  <c r="P18" i="5"/>
  <c r="K26" i="12"/>
  <c r="N27" i="16"/>
  <c r="M10" i="15"/>
  <c r="M53" i="15"/>
  <c r="M55" i="15"/>
  <c r="G10" i="16"/>
  <c r="G53" i="16"/>
  <c r="E25" i="13"/>
  <c r="E37" i="13"/>
  <c r="E44" i="13"/>
  <c r="E46" i="13"/>
  <c r="G25" i="14"/>
  <c r="AI17" i="13"/>
  <c r="AI10" i="13"/>
  <c r="AI53" i="13"/>
  <c r="J55" i="14"/>
  <c r="R9" i="13"/>
  <c r="R10" i="16"/>
  <c r="AQ14" i="16"/>
  <c r="AQ14" i="15"/>
  <c r="AQ13" i="15"/>
  <c r="V10" i="14"/>
  <c r="V53" i="14"/>
  <c r="V55" i="14"/>
  <c r="V17" i="14"/>
  <c r="J23" i="21"/>
  <c r="I15" i="20"/>
  <c r="H18" i="20"/>
  <c r="AR10" i="16"/>
  <c r="AR9" i="15"/>
  <c r="AR17" i="16"/>
  <c r="G23" i="18"/>
  <c r="G23" i="19"/>
  <c r="H23" i="23"/>
  <c r="Z17" i="16"/>
  <c r="Z10" i="16"/>
  <c r="Z9" i="13"/>
  <c r="O27" i="15"/>
  <c r="O54" i="15"/>
  <c r="Q55" i="14"/>
  <c r="H26" i="12"/>
  <c r="K27" i="16"/>
  <c r="N10" i="14"/>
  <c r="N53" i="14"/>
  <c r="U10" i="14"/>
  <c r="U53" i="14"/>
  <c r="U55" i="14"/>
  <c r="Q27" i="14"/>
  <c r="Q54" i="14"/>
  <c r="I55" i="14"/>
  <c r="L42" i="14"/>
  <c r="T9" i="13"/>
  <c r="T10" i="16"/>
  <c r="T17" i="16"/>
  <c r="AB17" i="15"/>
  <c r="AB10" i="15"/>
  <c r="AB53" i="15"/>
  <c r="AB55" i="15"/>
  <c r="BA25" i="13"/>
  <c r="F54" i="15"/>
  <c r="AZ10" i="16"/>
  <c r="AZ9" i="15"/>
  <c r="AZ17" i="16"/>
  <c r="AX10" i="14"/>
  <c r="AX53" i="14"/>
  <c r="AX55" i="14"/>
  <c r="AQ25" i="14"/>
  <c r="BC12" i="15"/>
  <c r="AU27" i="13"/>
  <c r="AU54" i="13"/>
  <c r="AR10" i="13"/>
  <c r="AR53" i="13"/>
  <c r="AR17" i="13"/>
  <c r="O10" i="16"/>
  <c r="O53" i="16"/>
  <c r="AN10" i="16"/>
  <c r="AN9" i="14"/>
  <c r="E10" i="12"/>
  <c r="E53" i="12"/>
  <c r="E55" i="12"/>
  <c r="Z10" i="15"/>
  <c r="Z53" i="15"/>
  <c r="Z55" i="15"/>
  <c r="BA10" i="14"/>
  <c r="BA53" i="14"/>
  <c r="BA55" i="14"/>
  <c r="BA17" i="14"/>
  <c r="K17" i="14"/>
  <c r="K10" i="14"/>
  <c r="K53" i="14"/>
  <c r="K55" i="14"/>
  <c r="AF10" i="16"/>
  <c r="AF9" i="14"/>
  <c r="AF17" i="16"/>
  <c r="H25" i="12"/>
  <c r="BC25" i="14"/>
  <c r="AZ54" i="14"/>
  <c r="F10" i="14"/>
  <c r="F53" i="14"/>
  <c r="F55" i="14"/>
  <c r="F17" i="14"/>
  <c r="E78" i="7"/>
  <c r="E80" i="7"/>
  <c r="AH26" i="14"/>
  <c r="AH27" i="16"/>
  <c r="AS9" i="15"/>
  <c r="AS10" i="16"/>
  <c r="N10" i="16"/>
  <c r="N53" i="16"/>
  <c r="X9" i="13"/>
  <c r="X10" i="16"/>
  <c r="X17" i="16"/>
  <c r="AD26" i="14"/>
  <c r="AD27" i="16"/>
  <c r="N26" i="12"/>
  <c r="Q27" i="16"/>
  <c r="T17" i="14"/>
  <c r="T10" i="14"/>
  <c r="T53" i="14"/>
  <c r="T55" i="14"/>
  <c r="AR27" i="13"/>
  <c r="AR54" i="13"/>
  <c r="AB17" i="14"/>
  <c r="AB10" i="14"/>
  <c r="AB53" i="14"/>
  <c r="AB55" i="14"/>
  <c r="H33" i="22"/>
  <c r="G37" i="22"/>
  <c r="AJ10" i="15"/>
  <c r="AJ53" i="15"/>
  <c r="AJ55" i="15"/>
  <c r="AM42" i="15"/>
  <c r="AE17" i="15"/>
  <c r="AE10" i="15"/>
  <c r="AE53" i="15"/>
  <c r="AE55" i="15"/>
  <c r="J26" i="12"/>
  <c r="M27" i="16"/>
  <c r="F27" i="16"/>
  <c r="C26" i="12"/>
  <c r="AD9" i="14"/>
  <c r="AD10" i="16"/>
  <c r="AZ17" i="14"/>
  <c r="AZ10" i="14"/>
  <c r="AZ53" i="14"/>
  <c r="W10" i="14"/>
  <c r="W53" i="14"/>
  <c r="W55" i="14"/>
  <c r="AV17" i="13"/>
  <c r="AV10" i="13"/>
  <c r="AV53" i="13"/>
  <c r="AQ10" i="16"/>
  <c r="AQ17" i="16"/>
  <c r="AQ9" i="15"/>
  <c r="AX27" i="14"/>
  <c r="AX54" i="14"/>
  <c r="I27" i="14"/>
  <c r="I54" i="14"/>
  <c r="S54" i="16"/>
  <c r="AU26" i="15"/>
  <c r="AU27" i="16"/>
  <c r="AV17" i="14"/>
  <c r="AV10" i="14"/>
  <c r="AV53" i="14"/>
  <c r="AV55" i="14"/>
  <c r="J55" i="13"/>
  <c r="AC9" i="13"/>
  <c r="AC10" i="16"/>
  <c r="AC17" i="16"/>
  <c r="AW55" i="14"/>
  <c r="AW27" i="14"/>
  <c r="AW54" i="14"/>
  <c r="AT10" i="14"/>
  <c r="AT53" i="14"/>
  <c r="AT55" i="14"/>
  <c r="AT17" i="14"/>
  <c r="AU17" i="14"/>
  <c r="AU10" i="14"/>
  <c r="AU53" i="14"/>
  <c r="AU55" i="14"/>
  <c r="O17" i="14"/>
  <c r="O10" i="14"/>
  <c r="O53" i="14"/>
  <c r="O55" i="14"/>
  <c r="L10" i="12"/>
  <c r="L53" i="12"/>
  <c r="AI54" i="14"/>
  <c r="AL17" i="13"/>
  <c r="AL10" i="13"/>
  <c r="AL53" i="13"/>
  <c r="AL55" i="13"/>
  <c r="L10" i="16"/>
  <c r="L53" i="16"/>
  <c r="L17" i="16"/>
  <c r="I27" i="12"/>
  <c r="I54" i="12"/>
  <c r="L54" i="16"/>
  <c r="AN55" i="13"/>
  <c r="M27" i="12"/>
  <c r="M54" i="12"/>
  <c r="P54" i="16"/>
  <c r="J167" i="8"/>
  <c r="J69" i="7"/>
  <c r="G69" i="3"/>
  <c r="AY17" i="14"/>
  <c r="AY10" i="14"/>
  <c r="AY53" i="14"/>
  <c r="AY55" i="14"/>
  <c r="S17" i="14"/>
  <c r="S10" i="14"/>
  <c r="S53" i="14"/>
  <c r="S55" i="14"/>
  <c r="Y17" i="13"/>
  <c r="AY26" i="15"/>
  <c r="AY27" i="16"/>
  <c r="F10" i="19"/>
  <c r="F12" i="19"/>
  <c r="F34" i="14"/>
  <c r="F34" i="15"/>
  <c r="F34" i="16"/>
  <c r="C34" i="12"/>
  <c r="F166" i="8"/>
  <c r="F34" i="13"/>
  <c r="BC13" i="15"/>
  <c r="P10" i="14"/>
  <c r="P53" i="14"/>
  <c r="P55" i="14"/>
  <c r="AL9" i="14"/>
  <c r="AL10" i="16"/>
  <c r="AQ12" i="16"/>
  <c r="AQ12" i="15"/>
  <c r="AQ11" i="15"/>
  <c r="BC11" i="15"/>
  <c r="D23" i="11"/>
  <c r="D24" i="13"/>
  <c r="D24" i="15"/>
  <c r="D24" i="14"/>
  <c r="D24" i="16"/>
  <c r="T54" i="13"/>
  <c r="AO17" i="14"/>
  <c r="AH54" i="13"/>
  <c r="L33" i="23"/>
  <c r="U26" i="13"/>
  <c r="U27" i="16"/>
  <c r="AH10" i="15"/>
  <c r="AH53" i="15"/>
  <c r="AH55" i="15"/>
  <c r="AJ42" i="15"/>
  <c r="N27" i="13"/>
  <c r="N54" i="13"/>
  <c r="M10" i="16"/>
  <c r="M53" i="16"/>
  <c r="M10" i="14"/>
  <c r="M53" i="14"/>
  <c r="M55" i="14"/>
  <c r="AA10" i="15"/>
  <c r="AA53" i="15"/>
  <c r="AA55" i="15"/>
  <c r="H37" i="19"/>
  <c r="I33" i="19"/>
  <c r="G17" i="14"/>
  <c r="G10" i="14"/>
  <c r="G53" i="14"/>
  <c r="G17" i="13"/>
  <c r="G10" i="13"/>
  <c r="G53" i="13"/>
  <c r="BA12" i="13"/>
  <c r="E25" i="14"/>
  <c r="E37" i="14"/>
  <c r="E44" i="14"/>
  <c r="E46" i="14"/>
  <c r="G25" i="13"/>
  <c r="AN25" i="14"/>
  <c r="AK9" i="14"/>
  <c r="AK17" i="16"/>
  <c r="AK10" i="16"/>
  <c r="I31" i="24"/>
  <c r="D32" i="24"/>
  <c r="V9" i="13"/>
  <c r="V10" i="16"/>
  <c r="V17" i="16"/>
  <c r="AW10" i="15"/>
  <c r="AW53" i="15"/>
  <c r="AW53" i="16"/>
  <c r="R16" i="20"/>
  <c r="K16" i="23"/>
  <c r="J16" i="19"/>
  <c r="P18" i="4"/>
  <c r="E8" i="1"/>
  <c r="E18" i="1"/>
  <c r="AP17" i="13"/>
  <c r="AP10" i="13"/>
  <c r="AP53" i="13"/>
  <c r="AP55" i="13"/>
  <c r="H15" i="21"/>
  <c r="G18" i="21"/>
  <c r="BA9" i="15"/>
  <c r="BA17" i="16"/>
  <c r="BA10" i="16"/>
  <c r="K10" i="13"/>
  <c r="K53" i="13"/>
  <c r="K55" i="13"/>
  <c r="C10" i="12"/>
  <c r="C17" i="12"/>
  <c r="P9" i="12"/>
  <c r="AS10" i="14"/>
  <c r="AS53" i="14"/>
  <c r="AS55" i="14"/>
  <c r="AV42" i="14"/>
  <c r="X17" i="15"/>
  <c r="X10" i="15"/>
  <c r="X53" i="15"/>
  <c r="X55" i="15"/>
  <c r="AT26" i="15"/>
  <c r="AT27" i="16"/>
  <c r="AL26" i="14"/>
  <c r="AL27" i="16"/>
  <c r="AS27" i="16"/>
  <c r="AS26" i="15"/>
  <c r="I33" i="25"/>
  <c r="D34" i="25"/>
  <c r="I34" i="25"/>
  <c r="D35" i="25"/>
  <c r="L10" i="13"/>
  <c r="L53" i="13"/>
  <c r="L55" i="13"/>
  <c r="L17" i="13"/>
  <c r="K32" i="24"/>
  <c r="J33" i="24"/>
  <c r="AI27" i="13"/>
  <c r="AI54" i="13"/>
  <c r="T27" i="13"/>
  <c r="AG10" i="14"/>
  <c r="AG53" i="14"/>
  <c r="AG53" i="16"/>
  <c r="AP26" i="15"/>
  <c r="AP27" i="16"/>
  <c r="BC31" i="14"/>
  <c r="C10" i="15"/>
  <c r="C53" i="15"/>
  <c r="C55" i="15"/>
  <c r="C10" i="13"/>
  <c r="C53" i="13"/>
  <c r="C55" i="13"/>
  <c r="G46" i="1"/>
  <c r="AF26" i="14"/>
  <c r="AF27" i="16"/>
  <c r="C35" i="1"/>
  <c r="G46" i="2"/>
  <c r="G74" i="2"/>
  <c r="H34" i="25"/>
  <c r="B35" i="25"/>
  <c r="E34" i="25"/>
  <c r="G34" i="25"/>
  <c r="H17" i="15"/>
  <c r="H10" i="15"/>
  <c r="H53" i="15"/>
  <c r="H55" i="15"/>
  <c r="Z10" i="14"/>
  <c r="Z53" i="14"/>
  <c r="Z55" i="14"/>
  <c r="G26" i="11"/>
  <c r="AY10" i="13"/>
  <c r="AY53" i="13"/>
  <c r="AY55" i="13"/>
  <c r="AG17" i="14"/>
  <c r="K10" i="16"/>
  <c r="K53" i="16"/>
  <c r="AP27" i="14"/>
  <c r="AP54" i="14"/>
  <c r="AP55" i="14"/>
  <c r="AF17" i="15"/>
  <c r="AF10" i="15"/>
  <c r="AF53" i="15"/>
  <c r="AF55" i="15"/>
  <c r="G9" i="11"/>
  <c r="G16" i="11"/>
  <c r="C10" i="11"/>
  <c r="G10" i="11"/>
  <c r="L26" i="12"/>
  <c r="O27" i="16"/>
  <c r="BC24" i="14"/>
  <c r="AZ26" i="15"/>
  <c r="AZ27" i="16"/>
  <c r="Q17" i="14"/>
  <c r="F17" i="13"/>
  <c r="F10" i="13"/>
  <c r="F53" i="13"/>
  <c r="F55" i="13"/>
  <c r="V27" i="16"/>
  <c r="V26" i="13"/>
  <c r="AH27" i="15"/>
  <c r="AH54" i="15"/>
  <c r="AI10" i="15"/>
  <c r="AI53" i="15"/>
  <c r="AI55" i="15"/>
  <c r="N10" i="15"/>
  <c r="N53" i="15"/>
  <c r="N55" i="15"/>
  <c r="F35" i="1"/>
  <c r="F46" i="1"/>
  <c r="P46" i="5"/>
  <c r="U10" i="15"/>
  <c r="U53" i="15"/>
  <c r="U55" i="15"/>
  <c r="X42" i="15"/>
  <c r="AD27" i="15"/>
  <c r="AD54" i="15"/>
  <c r="Q27" i="15"/>
  <c r="Q54" i="15"/>
  <c r="Q55" i="15"/>
  <c r="I17" i="14"/>
  <c r="AB9" i="13"/>
  <c r="AB10" i="16"/>
  <c r="AB17" i="16"/>
  <c r="D18" i="3"/>
  <c r="J17" i="15"/>
  <c r="BA24" i="13"/>
  <c r="AH17" i="13"/>
  <c r="AH10" i="13"/>
  <c r="AH53" i="13"/>
  <c r="AH55" i="13"/>
  <c r="AE10" i="16"/>
  <c r="AE9" i="14"/>
  <c r="AB54" i="16"/>
  <c r="AR26" i="15"/>
  <c r="AR27" i="16"/>
  <c r="M27" i="14"/>
  <c r="M54" i="14"/>
  <c r="AQ24" i="15"/>
  <c r="AQ25" i="16"/>
  <c r="AQ25" i="15"/>
  <c r="BC25" i="15"/>
  <c r="K33" i="21"/>
  <c r="J37" i="21"/>
  <c r="AV27" i="13"/>
  <c r="AV54" i="13"/>
  <c r="J23" i="20"/>
  <c r="K23" i="20"/>
  <c r="E35" i="1"/>
  <c r="E46" i="1"/>
  <c r="P46" i="4"/>
  <c r="C8" i="1"/>
  <c r="G18" i="2"/>
  <c r="G76" i="2"/>
  <c r="F26" i="12"/>
  <c r="I27" i="16"/>
  <c r="S54" i="13"/>
  <c r="C38" i="25"/>
  <c r="AT10" i="13"/>
  <c r="AT53" i="13"/>
  <c r="AT55" i="13"/>
  <c r="J17" i="13"/>
  <c r="AW26" i="15"/>
  <c r="AW27" i="16"/>
  <c r="AT17" i="16"/>
  <c r="AT9" i="15"/>
  <c r="AT10" i="16"/>
  <c r="AY27" i="13"/>
  <c r="AY54" i="13"/>
  <c r="AM55" i="13"/>
  <c r="AU10" i="16"/>
  <c r="AU17" i="16"/>
  <c r="AU9" i="15"/>
  <c r="O17" i="15"/>
  <c r="O10" i="15"/>
  <c r="O53" i="15"/>
  <c r="O55" i="15"/>
  <c r="J33" i="20"/>
  <c r="I37" i="20"/>
  <c r="L17" i="15"/>
  <c r="L10" i="15"/>
  <c r="L53" i="15"/>
  <c r="L55" i="15"/>
  <c r="Y17" i="15"/>
  <c r="AN17" i="13"/>
  <c r="AM54" i="16"/>
  <c r="Z26" i="13"/>
  <c r="Z27" i="16"/>
  <c r="AO55" i="15"/>
  <c r="H32" i="24"/>
  <c r="K41" i="16"/>
  <c r="H41" i="12"/>
  <c r="B33" i="24"/>
  <c r="E32" i="24"/>
  <c r="K167" i="8"/>
  <c r="K69" i="7"/>
  <c r="H69" i="3"/>
  <c r="G32" i="24"/>
  <c r="AY10" i="16"/>
  <c r="AY17" i="16"/>
  <c r="AY9" i="15"/>
  <c r="BC9" i="15"/>
  <c r="S9" i="13"/>
  <c r="S10" i="16"/>
  <c r="S17" i="16"/>
  <c r="AP10" i="15"/>
  <c r="AP53" i="16"/>
  <c r="R54" i="14"/>
  <c r="AM10" i="15"/>
  <c r="AM53" i="15"/>
  <c r="AM55" i="15"/>
  <c r="F12" i="23"/>
  <c r="G8" i="23"/>
  <c r="BC14" i="15"/>
  <c r="E54" i="15"/>
  <c r="E55" i="15"/>
  <c r="Y54" i="14"/>
  <c r="Y55" i="14"/>
  <c r="P10" i="13"/>
  <c r="P53" i="13"/>
  <c r="P55" i="13"/>
  <c r="AJ10" i="13"/>
  <c r="AJ53" i="13"/>
  <c r="AJ55" i="13"/>
  <c r="D35" i="1"/>
  <c r="D46" i="1"/>
  <c r="P46" i="3"/>
  <c r="AE54" i="14"/>
  <c r="U54" i="14"/>
  <c r="AH17" i="16"/>
  <c r="AH9" i="14"/>
  <c r="AH10" i="16"/>
  <c r="N27" i="15"/>
  <c r="N54" i="15"/>
  <c r="J17" i="12"/>
  <c r="J10" i="12"/>
  <c r="J53" i="12"/>
  <c r="M10" i="13"/>
  <c r="M53" i="13"/>
  <c r="M55" i="13"/>
  <c r="M17" i="13"/>
  <c r="AE55" i="13"/>
  <c r="AH42" i="13"/>
  <c r="AA17" i="14"/>
  <c r="AA10" i="14"/>
  <c r="AA53" i="14"/>
  <c r="AA55" i="14"/>
  <c r="D10" i="12"/>
  <c r="D53" i="12"/>
  <c r="BA11" i="13"/>
  <c r="E25" i="16"/>
  <c r="E37" i="16"/>
  <c r="E44" i="16"/>
  <c r="E46" i="16"/>
  <c r="G25" i="16"/>
  <c r="D25" i="12"/>
  <c r="P25" i="12"/>
  <c r="D24" i="12"/>
  <c r="BA13" i="13"/>
  <c r="R10" i="15"/>
  <c r="R53" i="15"/>
  <c r="R55" i="15"/>
  <c r="U42" i="15"/>
  <c r="R17" i="15"/>
  <c r="AW17" i="15"/>
  <c r="C38" i="24"/>
  <c r="P18" i="3"/>
  <c r="D8" i="1"/>
  <c r="D18" i="1"/>
  <c r="I64" i="1"/>
  <c r="I10" i="20"/>
  <c r="I12" i="20"/>
  <c r="J8" i="20"/>
  <c r="I12" i="22"/>
  <c r="J8" i="22"/>
  <c r="I10" i="22"/>
  <c r="AW27" i="15"/>
  <c r="AW54" i="15"/>
  <c r="AW54" i="16"/>
  <c r="AW55" i="16"/>
  <c r="C39" i="25"/>
  <c r="C18" i="1"/>
  <c r="C76" i="1"/>
  <c r="I8" i="1"/>
  <c r="I18" i="1"/>
  <c r="AE10" i="14"/>
  <c r="AE53" i="14"/>
  <c r="AE55" i="14"/>
  <c r="AE53" i="16"/>
  <c r="AE55" i="16"/>
  <c r="AP27" i="15"/>
  <c r="AP54" i="16"/>
  <c r="D25" i="13"/>
  <c r="D54" i="13"/>
  <c r="D55" i="13"/>
  <c r="AL10" i="14"/>
  <c r="AL53" i="14"/>
  <c r="AL55" i="14"/>
  <c r="AL53" i="16"/>
  <c r="I33" i="22"/>
  <c r="H37" i="22"/>
  <c r="AN10" i="14"/>
  <c r="AN53" i="14"/>
  <c r="AN53" i="16"/>
  <c r="AD55" i="15"/>
  <c r="AG42" i="15"/>
  <c r="AQ26" i="15"/>
  <c r="BC26" i="15"/>
  <c r="AQ27" i="16"/>
  <c r="AK27" i="14"/>
  <c r="AK54" i="14"/>
  <c r="AK54" i="16"/>
  <c r="AO27" i="14"/>
  <c r="AO54" i="16"/>
  <c r="I10" i="18"/>
  <c r="I12" i="18"/>
  <c r="J8" i="18"/>
  <c r="P17" i="13"/>
  <c r="G8" i="19"/>
  <c r="G10" i="23"/>
  <c r="G12" i="23"/>
  <c r="H8" i="23"/>
  <c r="S10" i="13"/>
  <c r="S53" i="13"/>
  <c r="S55" i="13"/>
  <c r="S53" i="16"/>
  <c r="S55" i="16"/>
  <c r="AY10" i="15"/>
  <c r="AY53" i="15"/>
  <c r="AY53" i="16"/>
  <c r="AY55" i="16"/>
  <c r="O42" i="15"/>
  <c r="AT10" i="15"/>
  <c r="AT53" i="15"/>
  <c r="AT53" i="16"/>
  <c r="AT17" i="13"/>
  <c r="AI17" i="15"/>
  <c r="C16" i="11"/>
  <c r="C45" i="11"/>
  <c r="K17" i="16"/>
  <c r="AY17" i="13"/>
  <c r="C17" i="15"/>
  <c r="C46" i="15"/>
  <c r="C50" i="15"/>
  <c r="D48" i="15"/>
  <c r="AB54" i="13"/>
  <c r="AS17" i="14"/>
  <c r="K17" i="13"/>
  <c r="AA17" i="15"/>
  <c r="M17" i="16"/>
  <c r="U27" i="13"/>
  <c r="U54" i="16"/>
  <c r="M33" i="23"/>
  <c r="D25" i="16"/>
  <c r="D54" i="16"/>
  <c r="D55" i="16"/>
  <c r="D37" i="16"/>
  <c r="D44" i="16"/>
  <c r="D46" i="16"/>
  <c r="D50" i="16"/>
  <c r="D24" i="11"/>
  <c r="G24" i="11"/>
  <c r="G23" i="11"/>
  <c r="AL17" i="14"/>
  <c r="P17" i="14"/>
  <c r="L55" i="16"/>
  <c r="L17" i="12"/>
  <c r="AY42" i="14"/>
  <c r="AU27" i="15"/>
  <c r="AU54" i="16"/>
  <c r="AQ10" i="15"/>
  <c r="AQ53" i="15"/>
  <c r="AQ53" i="16"/>
  <c r="W17" i="14"/>
  <c r="BC9" i="14"/>
  <c r="C27" i="12"/>
  <c r="F54" i="16"/>
  <c r="AJ17" i="15"/>
  <c r="X10" i="13"/>
  <c r="X53" i="13"/>
  <c r="X55" i="13"/>
  <c r="X53" i="16"/>
  <c r="X55" i="16"/>
  <c r="N17" i="16"/>
  <c r="AF10" i="14"/>
  <c r="AF53" i="14"/>
  <c r="AF55" i="14"/>
  <c r="AF53" i="16"/>
  <c r="E17" i="12"/>
  <c r="O17" i="16"/>
  <c r="AR55" i="13"/>
  <c r="AT42" i="13"/>
  <c r="K23" i="22"/>
  <c r="N17" i="14"/>
  <c r="H23" i="18"/>
  <c r="I23" i="23"/>
  <c r="H23" i="19"/>
  <c r="BA9" i="13"/>
  <c r="G17" i="16"/>
  <c r="K27" i="12"/>
  <c r="K54" i="12"/>
  <c r="N54" i="16"/>
  <c r="AG27" i="14"/>
  <c r="AG54" i="14"/>
  <c r="AG54" i="16"/>
  <c r="P17" i="16"/>
  <c r="E54" i="14"/>
  <c r="E55" i="14"/>
  <c r="R27" i="13"/>
  <c r="R54" i="16"/>
  <c r="S17" i="15"/>
  <c r="I55" i="12"/>
  <c r="AV10" i="15"/>
  <c r="AV53" i="15"/>
  <c r="AV53" i="16"/>
  <c r="AX10" i="15"/>
  <c r="AX53" i="15"/>
  <c r="AX53" i="16"/>
  <c r="AO54" i="13"/>
  <c r="AC27" i="13"/>
  <c r="AC54" i="16"/>
  <c r="AA42" i="14"/>
  <c r="K55" i="12"/>
  <c r="AI53" i="16"/>
  <c r="AI55" i="16"/>
  <c r="AI10" i="14"/>
  <c r="AI53" i="14"/>
  <c r="AI55" i="14"/>
  <c r="F17" i="15"/>
  <c r="C55" i="16"/>
  <c r="J15" i="22"/>
  <c r="I18" i="22"/>
  <c r="K17" i="15"/>
  <c r="H17" i="16"/>
  <c r="AN27" i="14"/>
  <c r="AN54" i="14"/>
  <c r="AN54" i="16"/>
  <c r="D26" i="12"/>
  <c r="G27" i="16"/>
  <c r="R55" i="14"/>
  <c r="U42" i="14"/>
  <c r="G17" i="15"/>
  <c r="AA10" i="13"/>
  <c r="AA53" i="13"/>
  <c r="AA55" i="13"/>
  <c r="AA53" i="16"/>
  <c r="AA55" i="16"/>
  <c r="P17" i="15"/>
  <c r="AS17" i="13"/>
  <c r="AQ55" i="14"/>
  <c r="AS42" i="14"/>
  <c r="E33" i="24"/>
  <c r="L167" i="8"/>
  <c r="L69" i="7"/>
  <c r="I69" i="3"/>
  <c r="H33" i="24"/>
  <c r="L41" i="16"/>
  <c r="I41" i="12"/>
  <c r="B34" i="24"/>
  <c r="G33" i="24"/>
  <c r="Z27" i="13"/>
  <c r="Z54" i="13"/>
  <c r="Z54" i="16"/>
  <c r="V27" i="13"/>
  <c r="V54" i="16"/>
  <c r="AT27" i="15"/>
  <c r="AT54" i="15"/>
  <c r="AT54" i="16"/>
  <c r="F170" i="8"/>
  <c r="F68" i="7"/>
  <c r="F72" i="7"/>
  <c r="F74" i="7"/>
  <c r="F76" i="7"/>
  <c r="C68" i="3"/>
  <c r="AD10" i="14"/>
  <c r="AD53" i="16"/>
  <c r="P26" i="12"/>
  <c r="N55" i="16"/>
  <c r="AS10" i="15"/>
  <c r="AS53" i="15"/>
  <c r="AS53" i="16"/>
  <c r="X42" i="14"/>
  <c r="H27" i="12"/>
  <c r="K54" i="16"/>
  <c r="J15" i="20"/>
  <c r="I18" i="20"/>
  <c r="R10" i="13"/>
  <c r="R53" i="16"/>
  <c r="R55" i="16"/>
  <c r="U42" i="16"/>
  <c r="U42" i="13"/>
  <c r="AO55" i="16"/>
  <c r="AO55" i="13"/>
  <c r="AQ42" i="13"/>
  <c r="C17" i="18"/>
  <c r="C18" i="18"/>
  <c r="C17" i="20"/>
  <c r="C18" i="20"/>
  <c r="C17" i="19"/>
  <c r="C18" i="19"/>
  <c r="C17" i="21"/>
  <c r="C18" i="21"/>
  <c r="C17" i="22"/>
  <c r="C18" i="22"/>
  <c r="C17" i="23"/>
  <c r="C18" i="23"/>
  <c r="D48" i="16"/>
  <c r="J37" i="18"/>
  <c r="K33" i="18"/>
  <c r="J15" i="18"/>
  <c r="D17" i="12"/>
  <c r="J55" i="12"/>
  <c r="AH10" i="14"/>
  <c r="AH53" i="14"/>
  <c r="AH53" i="16"/>
  <c r="AJ17" i="13"/>
  <c r="AM17" i="15"/>
  <c r="AP55" i="16"/>
  <c r="S17" i="13"/>
  <c r="K33" i="20"/>
  <c r="J37" i="20"/>
  <c r="AT17" i="15"/>
  <c r="BC24" i="15"/>
  <c r="AE17" i="14"/>
  <c r="U17" i="15"/>
  <c r="AZ27" i="15"/>
  <c r="AZ54" i="15"/>
  <c r="AZ54" i="16"/>
  <c r="K55" i="16"/>
  <c r="E35" i="25"/>
  <c r="I35" i="25"/>
  <c r="D36" i="25"/>
  <c r="H35" i="25"/>
  <c r="B36" i="25"/>
  <c r="G35" i="25"/>
  <c r="I35" i="1"/>
  <c r="I46" i="1"/>
  <c r="C46" i="1"/>
  <c r="C74" i="1"/>
  <c r="AG55" i="16"/>
  <c r="K33" i="24"/>
  <c r="J34" i="24"/>
  <c r="AS27" i="15"/>
  <c r="AS54" i="16"/>
  <c r="AA42" i="15"/>
  <c r="BA10" i="15"/>
  <c r="BA53" i="15"/>
  <c r="BA53" i="16"/>
  <c r="BA55" i="16"/>
  <c r="I15" i="21"/>
  <c r="H18" i="21"/>
  <c r="K16" i="19"/>
  <c r="S16" i="20"/>
  <c r="L16" i="23"/>
  <c r="AW55" i="15"/>
  <c r="I32" i="24"/>
  <c r="D33" i="24"/>
  <c r="AD42" i="15"/>
  <c r="M55" i="16"/>
  <c r="D25" i="14"/>
  <c r="D54" i="14"/>
  <c r="D55" i="14"/>
  <c r="F42" i="14"/>
  <c r="AL17" i="16"/>
  <c r="AY27" i="15"/>
  <c r="AY54" i="16"/>
  <c r="AC10" i="13"/>
  <c r="AC53" i="13"/>
  <c r="AC53" i="16"/>
  <c r="AC55" i="16"/>
  <c r="AV55" i="13"/>
  <c r="AW42" i="13"/>
  <c r="AZ55" i="14"/>
  <c r="AD17" i="16"/>
  <c r="J27" i="12"/>
  <c r="J54" i="12"/>
  <c r="M54" i="16"/>
  <c r="AD27" i="14"/>
  <c r="AD54" i="16"/>
  <c r="X17" i="13"/>
  <c r="Z17" i="15"/>
  <c r="AN17" i="16"/>
  <c r="O55" i="16"/>
  <c r="AX17" i="14"/>
  <c r="AZ10" i="15"/>
  <c r="AZ53" i="15"/>
  <c r="AZ55" i="15"/>
  <c r="AZ53" i="16"/>
  <c r="AZ55" i="16"/>
  <c r="T10" i="13"/>
  <c r="T53" i="13"/>
  <c r="T55" i="13"/>
  <c r="T53" i="16"/>
  <c r="T55" i="16"/>
  <c r="N55" i="14"/>
  <c r="O42" i="14"/>
  <c r="Z10" i="13"/>
  <c r="Z53" i="13"/>
  <c r="Z53" i="16"/>
  <c r="Z55" i="16"/>
  <c r="AR10" i="15"/>
  <c r="AR53" i="15"/>
  <c r="AR53" i="16"/>
  <c r="AR55" i="16"/>
  <c r="K23" i="21"/>
  <c r="L23" i="21"/>
  <c r="R17" i="16"/>
  <c r="AI55" i="13"/>
  <c r="AK42" i="13"/>
  <c r="M17" i="15"/>
  <c r="AV27" i="15"/>
  <c r="AV54" i="16"/>
  <c r="AJ27" i="14"/>
  <c r="AJ54" i="16"/>
  <c r="AL17" i="15"/>
  <c r="P55" i="16"/>
  <c r="AK17" i="13"/>
  <c r="BA26" i="13"/>
  <c r="AX27" i="15"/>
  <c r="AX54" i="15"/>
  <c r="AX54" i="16"/>
  <c r="AX17" i="15"/>
  <c r="AQ54" i="14"/>
  <c r="AJ10" i="14"/>
  <c r="AJ53" i="14"/>
  <c r="AJ53" i="16"/>
  <c r="AJ55" i="16"/>
  <c r="K34" i="25"/>
  <c r="J35" i="25"/>
  <c r="N55" i="13"/>
  <c r="O42" i="13"/>
  <c r="F55" i="15"/>
  <c r="C21" i="18"/>
  <c r="C21" i="19"/>
  <c r="C21" i="22"/>
  <c r="C21" i="23"/>
  <c r="C21" i="21"/>
  <c r="C21" i="20"/>
  <c r="H55" i="16"/>
  <c r="V17" i="15"/>
  <c r="AK17" i="15"/>
  <c r="G55" i="15"/>
  <c r="AA17" i="13"/>
  <c r="R15" i="20"/>
  <c r="J15" i="19"/>
  <c r="K15" i="23"/>
  <c r="M55" i="12"/>
  <c r="E54" i="16"/>
  <c r="E55" i="16"/>
  <c r="AM10" i="14"/>
  <c r="AM53" i="14"/>
  <c r="AM55" i="14"/>
  <c r="AM53" i="16"/>
  <c r="AM55" i="16"/>
  <c r="AC17" i="15"/>
  <c r="AG17" i="13"/>
  <c r="F55" i="16"/>
  <c r="C39" i="24"/>
  <c r="AH17" i="14"/>
  <c r="AP53" i="15"/>
  <c r="AY17" i="15"/>
  <c r="R42" i="15"/>
  <c r="AU53" i="16"/>
  <c r="AU10" i="15"/>
  <c r="AU53" i="15"/>
  <c r="F27" i="12"/>
  <c r="F54" i="12"/>
  <c r="F55" i="12"/>
  <c r="I54" i="16"/>
  <c r="I55" i="16"/>
  <c r="L42" i="16"/>
  <c r="I42" i="12"/>
  <c r="L23" i="20"/>
  <c r="L33" i="21"/>
  <c r="K37" i="21"/>
  <c r="AR27" i="15"/>
  <c r="AR54" i="15"/>
  <c r="AR54" i="16"/>
  <c r="AE17" i="16"/>
  <c r="AB10" i="13"/>
  <c r="AB53" i="13"/>
  <c r="AB55" i="13"/>
  <c r="AB53" i="16"/>
  <c r="AB55" i="16"/>
  <c r="N17" i="15"/>
  <c r="L27" i="12"/>
  <c r="O54" i="16"/>
  <c r="Z17" i="14"/>
  <c r="AF27" i="14"/>
  <c r="AF54" i="14"/>
  <c r="AF54" i="16"/>
  <c r="C17" i="13"/>
  <c r="C46" i="13"/>
  <c r="C50" i="13"/>
  <c r="D48" i="13"/>
  <c r="AG55" i="14"/>
  <c r="AL27" i="14"/>
  <c r="AL54" i="14"/>
  <c r="AL54" i="16"/>
  <c r="P10" i="12"/>
  <c r="P17" i="12"/>
  <c r="C53" i="12"/>
  <c r="V10" i="13"/>
  <c r="V53" i="13"/>
  <c r="V53" i="16"/>
  <c r="V55" i="16"/>
  <c r="AK10" i="14"/>
  <c r="AK53" i="14"/>
  <c r="AK55" i="14"/>
  <c r="AK53" i="16"/>
  <c r="AK55" i="16"/>
  <c r="G55" i="13"/>
  <c r="I42" i="13"/>
  <c r="I37" i="19"/>
  <c r="J33" i="19"/>
  <c r="M17" i="14"/>
  <c r="AH17" i="15"/>
  <c r="D25" i="15"/>
  <c r="D54" i="15"/>
  <c r="D55" i="15"/>
  <c r="F42" i="15"/>
  <c r="E54" i="13"/>
  <c r="E55" i="13"/>
  <c r="F42" i="13"/>
  <c r="R42" i="14"/>
  <c r="AC17" i="13"/>
  <c r="P24" i="12"/>
  <c r="AQ17" i="15"/>
  <c r="N27" i="12"/>
  <c r="N54" i="12"/>
  <c r="N55" i="12"/>
  <c r="Q54" i="16"/>
  <c r="Q55" i="16"/>
  <c r="BC26" i="14"/>
  <c r="AS17" i="16"/>
  <c r="AH27" i="14"/>
  <c r="AH54" i="14"/>
  <c r="AH54" i="16"/>
  <c r="AN17" i="14"/>
  <c r="T17" i="13"/>
  <c r="U17" i="14"/>
  <c r="AN42" i="13"/>
  <c r="Y55" i="16"/>
  <c r="AW17" i="13"/>
  <c r="BA27" i="15"/>
  <c r="BA54" i="16"/>
  <c r="AC17" i="14"/>
  <c r="AV17" i="15"/>
  <c r="AO17" i="13"/>
  <c r="W10" i="13"/>
  <c r="W53" i="13"/>
  <c r="W55" i="13"/>
  <c r="W53" i="16"/>
  <c r="W55" i="16"/>
  <c r="AD17" i="15"/>
  <c r="U10" i="13"/>
  <c r="U53" i="13"/>
  <c r="U53" i="16"/>
  <c r="AI17" i="14"/>
  <c r="C35" i="18"/>
  <c r="C35" i="20"/>
  <c r="C35" i="19"/>
  <c r="C35" i="22"/>
  <c r="C35" i="23"/>
  <c r="C35" i="21"/>
  <c r="H17" i="12"/>
  <c r="G27" i="12"/>
  <c r="G54" i="12"/>
  <c r="G55" i="12"/>
  <c r="J54" i="16"/>
  <c r="J55" i="16"/>
  <c r="G54" i="14"/>
  <c r="G55" i="14"/>
  <c r="I42" i="14"/>
  <c r="Y27" i="13"/>
  <c r="Y54" i="13"/>
  <c r="Y55" i="13"/>
  <c r="Y54" i="16"/>
  <c r="AP17" i="15"/>
  <c r="W17" i="15"/>
  <c r="I10" i="21"/>
  <c r="I12" i="21"/>
  <c r="J8" i="21"/>
  <c r="J10" i="18"/>
  <c r="J12" i="18"/>
  <c r="K8" i="18"/>
  <c r="D17" i="18"/>
  <c r="D18" i="18"/>
  <c r="D17" i="20"/>
  <c r="D18" i="20"/>
  <c r="D17" i="19"/>
  <c r="D18" i="19"/>
  <c r="D17" i="21"/>
  <c r="D18" i="21"/>
  <c r="D17" i="22"/>
  <c r="D18" i="22"/>
  <c r="D17" i="23"/>
  <c r="D18" i="23"/>
  <c r="E48" i="16"/>
  <c r="E50" i="16"/>
  <c r="J10" i="21"/>
  <c r="J12" i="21"/>
  <c r="K8" i="21"/>
  <c r="J10" i="20"/>
  <c r="J12" i="20"/>
  <c r="K8" i="20"/>
  <c r="D35" i="20"/>
  <c r="C37" i="20"/>
  <c r="D21" i="21"/>
  <c r="D21" i="18"/>
  <c r="C24" i="18"/>
  <c r="C27" i="18"/>
  <c r="C30" i="18"/>
  <c r="F78" i="7"/>
  <c r="F80" i="7"/>
  <c r="AD42" i="16"/>
  <c r="AD42" i="14"/>
  <c r="D27" i="12"/>
  <c r="G54" i="16"/>
  <c r="G55" i="16"/>
  <c r="I42" i="16"/>
  <c r="F42" i="12"/>
  <c r="C22" i="18"/>
  <c r="D22" i="18"/>
  <c r="E22" i="18"/>
  <c r="C22" i="20"/>
  <c r="D22" i="20"/>
  <c r="E22" i="20"/>
  <c r="C22" i="21"/>
  <c r="D22" i="21"/>
  <c r="E22" i="21"/>
  <c r="F22" i="21"/>
  <c r="G22" i="21"/>
  <c r="H22" i="21"/>
  <c r="C22" i="19"/>
  <c r="D22" i="19"/>
  <c r="E22" i="19"/>
  <c r="C22" i="22"/>
  <c r="D22" i="22"/>
  <c r="E22" i="22"/>
  <c r="C22" i="23"/>
  <c r="D22" i="23"/>
  <c r="E22" i="23"/>
  <c r="F42" i="16"/>
  <c r="C42" i="12"/>
  <c r="AC54" i="13"/>
  <c r="AT55" i="16"/>
  <c r="H8" i="19"/>
  <c r="H10" i="23"/>
  <c r="H12" i="23"/>
  <c r="I8" i="23"/>
  <c r="D35" i="23"/>
  <c r="C37" i="23"/>
  <c r="D35" i="18"/>
  <c r="C37" i="18"/>
  <c r="AU55" i="16"/>
  <c r="AP42" i="14"/>
  <c r="D21" i="23"/>
  <c r="C24" i="23"/>
  <c r="C27" i="23"/>
  <c r="C30" i="23"/>
  <c r="I42" i="15"/>
  <c r="AV54" i="15"/>
  <c r="AR55" i="15"/>
  <c r="AC55" i="13"/>
  <c r="L16" i="19"/>
  <c r="T16" i="20"/>
  <c r="M16" i="23"/>
  <c r="AS54" i="15"/>
  <c r="E36" i="25"/>
  <c r="I36" i="25"/>
  <c r="D37" i="25"/>
  <c r="B37" i="25"/>
  <c r="H36" i="25"/>
  <c r="G36" i="25"/>
  <c r="AH55" i="16"/>
  <c r="AJ42" i="16"/>
  <c r="AJ42" i="14"/>
  <c r="AJ17" i="14"/>
  <c r="BA10" i="13"/>
  <c r="BA17" i="13"/>
  <c r="R53" i="13"/>
  <c r="H54" i="12"/>
  <c r="H55" i="12"/>
  <c r="AF17" i="14"/>
  <c r="AD55" i="16"/>
  <c r="F33" i="13"/>
  <c r="F37" i="13"/>
  <c r="F44" i="13"/>
  <c r="F46" i="13"/>
  <c r="F33" i="14"/>
  <c r="F37" i="14"/>
  <c r="F44" i="14"/>
  <c r="F46" i="14"/>
  <c r="F33" i="15"/>
  <c r="F37" i="15"/>
  <c r="F44" i="15"/>
  <c r="F46" i="15"/>
  <c r="F50" i="15"/>
  <c r="G48" i="15"/>
  <c r="F172" i="8"/>
  <c r="F174" i="8"/>
  <c r="F33" i="16"/>
  <c r="U17" i="13"/>
  <c r="AV55" i="15"/>
  <c r="BA27" i="13"/>
  <c r="R54" i="13"/>
  <c r="I23" i="19"/>
  <c r="I23" i="18"/>
  <c r="J23" i="23"/>
  <c r="AU54" i="15"/>
  <c r="AU55" i="15"/>
  <c r="G36" i="11"/>
  <c r="G43" i="11"/>
  <c r="U54" i="13"/>
  <c r="AK17" i="14"/>
  <c r="AT55" i="15"/>
  <c r="G10" i="19"/>
  <c r="G34" i="13"/>
  <c r="G34" i="14"/>
  <c r="G34" i="15"/>
  <c r="G34" i="16"/>
  <c r="D34" i="12"/>
  <c r="G166" i="8"/>
  <c r="AM17" i="14"/>
  <c r="AN55" i="16"/>
  <c r="D37" i="13"/>
  <c r="D44" i="13"/>
  <c r="D46" i="13"/>
  <c r="D50" i="13"/>
  <c r="E48" i="13"/>
  <c r="E50" i="13"/>
  <c r="F48" i="13"/>
  <c r="C40" i="25"/>
  <c r="D35" i="21"/>
  <c r="C37" i="21"/>
  <c r="BA54" i="15"/>
  <c r="BA55" i="15"/>
  <c r="K33" i="19"/>
  <c r="J37" i="19"/>
  <c r="AP42" i="16"/>
  <c r="AP42" i="15"/>
  <c r="BC27" i="14"/>
  <c r="AD54" i="14"/>
  <c r="AY54" i="15"/>
  <c r="AY55" i="15"/>
  <c r="AS55" i="15"/>
  <c r="AV55" i="16"/>
  <c r="AA42" i="16"/>
  <c r="AA42" i="13"/>
  <c r="O42" i="16"/>
  <c r="L42" i="12"/>
  <c r="I37" i="22"/>
  <c r="J33" i="22"/>
  <c r="C78" i="1"/>
  <c r="C80" i="1"/>
  <c r="D35" i="22"/>
  <c r="C37" i="22"/>
  <c r="U55" i="16"/>
  <c r="X42" i="16"/>
  <c r="X42" i="13"/>
  <c r="D37" i="15"/>
  <c r="D44" i="15"/>
  <c r="D46" i="15"/>
  <c r="D50" i="15"/>
  <c r="E48" i="15"/>
  <c r="E50" i="15"/>
  <c r="F48" i="15"/>
  <c r="V55" i="13"/>
  <c r="L37" i="21"/>
  <c r="M33" i="21"/>
  <c r="BC10" i="15"/>
  <c r="BC17" i="15"/>
  <c r="K15" i="19"/>
  <c r="S15" i="20"/>
  <c r="L15" i="23"/>
  <c r="C24" i="22"/>
  <c r="C27" i="22"/>
  <c r="C30" i="22"/>
  <c r="D21" i="22"/>
  <c r="D37" i="14"/>
  <c r="D44" i="14"/>
  <c r="D46" i="14"/>
  <c r="D50" i="14"/>
  <c r="E48" i="14"/>
  <c r="E50" i="14"/>
  <c r="F48" i="14"/>
  <c r="J35" i="24"/>
  <c r="K34" i="24"/>
  <c r="AH55" i="14"/>
  <c r="K15" i="18"/>
  <c r="W17" i="13"/>
  <c r="BC10" i="14"/>
  <c r="BC17" i="14"/>
  <c r="AD53" i="14"/>
  <c r="AD55" i="14"/>
  <c r="V17" i="13"/>
  <c r="V54" i="13"/>
  <c r="E34" i="24"/>
  <c r="M167" i="8"/>
  <c r="M69" i="7"/>
  <c r="J69" i="3"/>
  <c r="H34" i="24"/>
  <c r="M41" i="16"/>
  <c r="J41" i="12"/>
  <c r="B35" i="24"/>
  <c r="G34" i="24"/>
  <c r="AX55" i="16"/>
  <c r="R17" i="13"/>
  <c r="L23" i="22"/>
  <c r="M23" i="22"/>
  <c r="AS17" i="15"/>
  <c r="P27" i="12"/>
  <c r="C54" i="12"/>
  <c r="D36" i="11"/>
  <c r="D43" i="11"/>
  <c r="D45" i="11"/>
  <c r="D49" i="11"/>
  <c r="E47" i="11"/>
  <c r="E49" i="11"/>
  <c r="AU17" i="15"/>
  <c r="G12" i="19"/>
  <c r="AN55" i="14"/>
  <c r="C55" i="12"/>
  <c r="D35" i="19"/>
  <c r="C37" i="19"/>
  <c r="U55" i="13"/>
  <c r="L54" i="12"/>
  <c r="L55" i="12"/>
  <c r="M23" i="20"/>
  <c r="C40" i="24"/>
  <c r="D21" i="20"/>
  <c r="C24" i="20"/>
  <c r="C27" i="20"/>
  <c r="C30" i="20"/>
  <c r="D21" i="19"/>
  <c r="C24" i="19"/>
  <c r="K35" i="25"/>
  <c r="J36" i="25"/>
  <c r="AJ54" i="14"/>
  <c r="AJ55" i="14"/>
  <c r="M23" i="21"/>
  <c r="Z55" i="13"/>
  <c r="R42" i="16"/>
  <c r="R42" i="13"/>
  <c r="I33" i="24"/>
  <c r="D34" i="24"/>
  <c r="I34" i="24"/>
  <c r="D35" i="24"/>
  <c r="J15" i="21"/>
  <c r="I18" i="21"/>
  <c r="K37" i="20"/>
  <c r="L33" i="20"/>
  <c r="L33" i="18"/>
  <c r="K37" i="18"/>
  <c r="C27" i="19"/>
  <c r="C30" i="19"/>
  <c r="K15" i="20"/>
  <c r="J18" i="20"/>
  <c r="AS55" i="16"/>
  <c r="AV42" i="16"/>
  <c r="AV42" i="15"/>
  <c r="C72" i="3"/>
  <c r="C74" i="3"/>
  <c r="C76" i="3"/>
  <c r="BA17" i="15"/>
  <c r="AB17" i="13"/>
  <c r="K15" i="22"/>
  <c r="J18" i="22"/>
  <c r="AX55" i="15"/>
  <c r="AR17" i="15"/>
  <c r="Z17" i="13"/>
  <c r="AZ17" i="15"/>
  <c r="AF55" i="16"/>
  <c r="AD17" i="14"/>
  <c r="N33" i="23"/>
  <c r="C49" i="11"/>
  <c r="D47" i="11"/>
  <c r="AO54" i="14"/>
  <c r="AO55" i="14"/>
  <c r="AQ27" i="15"/>
  <c r="AQ54" i="15"/>
  <c r="AQ55" i="15"/>
  <c r="AQ54" i="16"/>
  <c r="AQ55" i="16"/>
  <c r="AS42" i="16"/>
  <c r="AS42" i="15"/>
  <c r="AL55" i="16"/>
  <c r="AM42" i="16"/>
  <c r="AM42" i="14"/>
  <c r="BC27" i="15"/>
  <c r="AP54" i="15"/>
  <c r="AP55" i="15"/>
  <c r="J12" i="22"/>
  <c r="K8" i="22"/>
  <c r="J10" i="22"/>
  <c r="K10" i="21"/>
  <c r="K12" i="21"/>
  <c r="L8" i="21"/>
  <c r="K10" i="18"/>
  <c r="K12" i="18"/>
  <c r="L8" i="18"/>
  <c r="M33" i="18"/>
  <c r="L37" i="18"/>
  <c r="G68" i="7"/>
  <c r="G72" i="7"/>
  <c r="G74" i="7"/>
  <c r="G76" i="7"/>
  <c r="G170" i="8"/>
  <c r="D68" i="3"/>
  <c r="I22" i="21"/>
  <c r="J22" i="21"/>
  <c r="K22" i="21"/>
  <c r="L22" i="21"/>
  <c r="M22" i="21"/>
  <c r="N22" i="21"/>
  <c r="O22" i="21"/>
  <c r="P22" i="21"/>
  <c r="Q22" i="21"/>
  <c r="R22" i="21"/>
  <c r="S22" i="21"/>
  <c r="T22" i="21"/>
  <c r="U22" i="21"/>
  <c r="V22" i="21"/>
  <c r="W22" i="21"/>
  <c r="X22" i="21"/>
  <c r="Y22" i="21"/>
  <c r="Z22" i="21"/>
  <c r="AA22" i="21"/>
  <c r="AB22" i="21"/>
  <c r="AC22" i="21"/>
  <c r="AD22" i="21"/>
  <c r="AE22" i="21"/>
  <c r="AF22" i="21"/>
  <c r="BA42" i="13"/>
  <c r="E21" i="20"/>
  <c r="D24" i="20"/>
  <c r="D27" i="20"/>
  <c r="D30" i="20"/>
  <c r="C41" i="24"/>
  <c r="H35" i="24"/>
  <c r="N41" i="16"/>
  <c r="K41" i="12"/>
  <c r="B36" i="24"/>
  <c r="E35" i="24"/>
  <c r="N167" i="8"/>
  <c r="N69" i="7"/>
  <c r="K69" i="3"/>
  <c r="G35" i="24"/>
  <c r="L15" i="18"/>
  <c r="E35" i="22"/>
  <c r="F35" i="22"/>
  <c r="D37" i="22"/>
  <c r="L33" i="19"/>
  <c r="K37" i="19"/>
  <c r="F50" i="14"/>
  <c r="G48" i="14"/>
  <c r="E35" i="18"/>
  <c r="D37" i="18"/>
  <c r="H10" i="19"/>
  <c r="H34" i="13"/>
  <c r="H34" i="16"/>
  <c r="E34" i="12"/>
  <c r="H34" i="14"/>
  <c r="H34" i="15"/>
  <c r="H166" i="8"/>
  <c r="F22" i="23"/>
  <c r="G22" i="23"/>
  <c r="H22" i="23"/>
  <c r="I22" i="23"/>
  <c r="J22" i="23"/>
  <c r="K22" i="23"/>
  <c r="L22" i="23"/>
  <c r="M22" i="23"/>
  <c r="N22" i="23"/>
  <c r="O22" i="23"/>
  <c r="P22" i="23"/>
  <c r="Q22" i="23"/>
  <c r="R22" i="23"/>
  <c r="F22" i="20"/>
  <c r="G22" i="20"/>
  <c r="H22" i="20"/>
  <c r="I22" i="20"/>
  <c r="J22" i="20"/>
  <c r="K22" i="20"/>
  <c r="L22" i="20"/>
  <c r="M22" i="20"/>
  <c r="N22" i="20"/>
  <c r="O22" i="20"/>
  <c r="P22" i="20"/>
  <c r="Q22" i="20"/>
  <c r="D54" i="12"/>
  <c r="D55" i="12"/>
  <c r="D24" i="18"/>
  <c r="E21" i="18"/>
  <c r="K10" i="20"/>
  <c r="K12" i="20"/>
  <c r="L8" i="20"/>
  <c r="E17" i="18"/>
  <c r="E17" i="19"/>
  <c r="E17" i="20"/>
  <c r="E17" i="21"/>
  <c r="E17" i="22"/>
  <c r="E17" i="23"/>
  <c r="E18" i="23"/>
  <c r="F48" i="16"/>
  <c r="C48" i="12"/>
  <c r="P48" i="12"/>
  <c r="J37" i="22"/>
  <c r="K33" i="22"/>
  <c r="I8" i="19"/>
  <c r="I12" i="23"/>
  <c r="J8" i="23"/>
  <c r="I10" i="23"/>
  <c r="P42" i="12"/>
  <c r="E35" i="20"/>
  <c r="F35" i="20"/>
  <c r="D37" i="20"/>
  <c r="O33" i="23"/>
  <c r="K18" i="22"/>
  <c r="L15" i="22"/>
  <c r="L15" i="20"/>
  <c r="K18" i="20"/>
  <c r="G45" i="11"/>
  <c r="G49" i="11"/>
  <c r="L37" i="20"/>
  <c r="M33" i="20"/>
  <c r="J18" i="21"/>
  <c r="K15" i="21"/>
  <c r="E35" i="19"/>
  <c r="F35" i="19"/>
  <c r="D37" i="19"/>
  <c r="N23" i="22"/>
  <c r="D24" i="22"/>
  <c r="D27" i="22"/>
  <c r="D30" i="22"/>
  <c r="E21" i="22"/>
  <c r="L15" i="19"/>
  <c r="T15" i="20"/>
  <c r="M15" i="23"/>
  <c r="M37" i="21"/>
  <c r="N33" i="21"/>
  <c r="AY42" i="16"/>
  <c r="AY42" i="15"/>
  <c r="BC42" i="15"/>
  <c r="E35" i="21"/>
  <c r="F35" i="21"/>
  <c r="D37" i="21"/>
  <c r="J23" i="18"/>
  <c r="J23" i="19"/>
  <c r="K23" i="23"/>
  <c r="C33" i="12"/>
  <c r="F37" i="16"/>
  <c r="F44" i="16"/>
  <c r="F46" i="16"/>
  <c r="F50" i="16"/>
  <c r="F50" i="13"/>
  <c r="G48" i="13"/>
  <c r="H37" i="25"/>
  <c r="B38" i="25"/>
  <c r="E37" i="25"/>
  <c r="I37" i="25"/>
  <c r="D38" i="25"/>
  <c r="G37" i="25"/>
  <c r="E21" i="23"/>
  <c r="D24" i="23"/>
  <c r="H12" i="19"/>
  <c r="F22" i="22"/>
  <c r="G22" i="22"/>
  <c r="H22" i="22"/>
  <c r="I22" i="22"/>
  <c r="J22" i="22"/>
  <c r="K22" i="22"/>
  <c r="L22" i="22"/>
  <c r="M22" i="22"/>
  <c r="N22" i="22"/>
  <c r="O22" i="22"/>
  <c r="P22" i="22"/>
  <c r="Q22" i="22"/>
  <c r="R22" i="22"/>
  <c r="S22" i="22"/>
  <c r="T22" i="22"/>
  <c r="U22" i="22"/>
  <c r="V22" i="22"/>
  <c r="W22" i="22"/>
  <c r="X22" i="22"/>
  <c r="Y22" i="22"/>
  <c r="Z22" i="22"/>
  <c r="AA22" i="22"/>
  <c r="AB22" i="22"/>
  <c r="AC22" i="22"/>
  <c r="AD22" i="22"/>
  <c r="AE22" i="22"/>
  <c r="AF22" i="22"/>
  <c r="F22" i="18"/>
  <c r="G22" i="18"/>
  <c r="H22" i="18"/>
  <c r="I22" i="18"/>
  <c r="J22" i="18"/>
  <c r="K22" i="18"/>
  <c r="L22" i="18"/>
  <c r="M22" i="18"/>
  <c r="N22" i="18"/>
  <c r="O22" i="18"/>
  <c r="P22" i="18"/>
  <c r="Q22" i="18"/>
  <c r="R22" i="18"/>
  <c r="S22" i="18"/>
  <c r="T22" i="18"/>
  <c r="U22" i="18"/>
  <c r="V22" i="18"/>
  <c r="W22" i="18"/>
  <c r="X22" i="18"/>
  <c r="Y22" i="18"/>
  <c r="Z22" i="18"/>
  <c r="AA22" i="18"/>
  <c r="AB22" i="18"/>
  <c r="AC22" i="18"/>
  <c r="AD22" i="18"/>
  <c r="AE22" i="18"/>
  <c r="AF22" i="18"/>
  <c r="AG22" i="18"/>
  <c r="AH22" i="18"/>
  <c r="AI22" i="18"/>
  <c r="AJ22" i="18"/>
  <c r="AK22" i="18"/>
  <c r="AL22" i="18"/>
  <c r="AM22" i="18"/>
  <c r="AN22" i="18"/>
  <c r="AO22" i="18"/>
  <c r="AP22" i="18"/>
  <c r="AQ22" i="18"/>
  <c r="AR22" i="18"/>
  <c r="AS22" i="18"/>
  <c r="AT22" i="18"/>
  <c r="AU22" i="18"/>
  <c r="AV22" i="18"/>
  <c r="AW22" i="18"/>
  <c r="AX22" i="18"/>
  <c r="AY22" i="18"/>
  <c r="AZ22" i="18"/>
  <c r="BA22" i="18"/>
  <c r="C22" i="17"/>
  <c r="E21" i="21"/>
  <c r="D24" i="21"/>
  <c r="D27" i="21"/>
  <c r="D30" i="21"/>
  <c r="D27" i="23"/>
  <c r="D30" i="23"/>
  <c r="K10" i="22"/>
  <c r="K12" i="22"/>
  <c r="L8" i="22"/>
  <c r="J37" i="25"/>
  <c r="K36" i="25"/>
  <c r="I35" i="24"/>
  <c r="D36" i="24"/>
  <c r="N23" i="21"/>
  <c r="D24" i="19"/>
  <c r="D27" i="19"/>
  <c r="D30" i="19"/>
  <c r="E21" i="19"/>
  <c r="N23" i="20"/>
  <c r="K35" i="24"/>
  <c r="J36" i="24"/>
  <c r="D61" i="14"/>
  <c r="D61" i="15"/>
  <c r="D61" i="16"/>
  <c r="D61" i="13"/>
  <c r="C41" i="25"/>
  <c r="AG42" i="16"/>
  <c r="AG42" i="14"/>
  <c r="BC42" i="14"/>
  <c r="R55" i="13"/>
  <c r="M16" i="19"/>
  <c r="U16" i="20"/>
  <c r="N16" i="23"/>
  <c r="E35" i="23"/>
  <c r="D37" i="23"/>
  <c r="F22" i="19"/>
  <c r="G22" i="19"/>
  <c r="H22" i="19"/>
  <c r="I22" i="19"/>
  <c r="J22" i="19"/>
  <c r="K22" i="19"/>
  <c r="L22" i="19"/>
  <c r="M22" i="19"/>
  <c r="N22" i="19"/>
  <c r="O22" i="19"/>
  <c r="P22" i="19"/>
  <c r="Q22" i="19"/>
  <c r="C24" i="21"/>
  <c r="C27" i="21"/>
  <c r="C30" i="21"/>
  <c r="D27" i="18"/>
  <c r="D30" i="18"/>
  <c r="L10" i="18"/>
  <c r="L12" i="18"/>
  <c r="M8" i="18"/>
  <c r="L10" i="22"/>
  <c r="L12" i="22"/>
  <c r="M8" i="22"/>
  <c r="C42" i="25"/>
  <c r="J61" i="15"/>
  <c r="C62" i="15"/>
  <c r="H62" i="15"/>
  <c r="Z40" i="15"/>
  <c r="AG22" i="21"/>
  <c r="AH22" i="21"/>
  <c r="AI22" i="21"/>
  <c r="AJ22" i="21"/>
  <c r="AK22" i="21"/>
  <c r="AL22" i="21"/>
  <c r="AM22" i="21"/>
  <c r="AN22" i="21"/>
  <c r="AO22" i="21"/>
  <c r="N33" i="18"/>
  <c r="M37" i="18"/>
  <c r="L10" i="21"/>
  <c r="L12" i="21"/>
  <c r="M8" i="21"/>
  <c r="AG22" i="22"/>
  <c r="AH22" i="22"/>
  <c r="AI22" i="22"/>
  <c r="AJ22" i="22"/>
  <c r="AK22" i="22"/>
  <c r="AL22" i="22"/>
  <c r="AM22" i="22"/>
  <c r="AN22" i="22"/>
  <c r="AO22" i="22"/>
  <c r="K23" i="18"/>
  <c r="K23" i="19"/>
  <c r="L23" i="23"/>
  <c r="O33" i="21"/>
  <c r="N37" i="21"/>
  <c r="P33" i="23"/>
  <c r="I12" i="19"/>
  <c r="F21" i="20"/>
  <c r="E24" i="20"/>
  <c r="E27" i="20"/>
  <c r="E30" i="20"/>
  <c r="D72" i="3"/>
  <c r="D74" i="3"/>
  <c r="D76" i="3"/>
  <c r="V16" i="20"/>
  <c r="N16" i="19"/>
  <c r="O16" i="23"/>
  <c r="F21" i="23"/>
  <c r="E24" i="23"/>
  <c r="L33" i="22"/>
  <c r="K37" i="22"/>
  <c r="L10" i="20"/>
  <c r="L12" i="20"/>
  <c r="M8" i="20"/>
  <c r="E68" i="3"/>
  <c r="E72" i="3"/>
  <c r="E74" i="3"/>
  <c r="E76" i="3"/>
  <c r="H68" i="7"/>
  <c r="H72" i="7"/>
  <c r="H74" i="7"/>
  <c r="H76" i="7"/>
  <c r="H170" i="8"/>
  <c r="M33" i="19"/>
  <c r="L37" i="19"/>
  <c r="M15" i="18"/>
  <c r="H36" i="24"/>
  <c r="O41" i="16"/>
  <c r="L41" i="12"/>
  <c r="B37" i="24"/>
  <c r="E36" i="24"/>
  <c r="O167" i="8"/>
  <c r="O69" i="7"/>
  <c r="L69" i="3"/>
  <c r="R22" i="19"/>
  <c r="S22" i="19"/>
  <c r="T22" i="19"/>
  <c r="U22" i="19"/>
  <c r="V22" i="19"/>
  <c r="W22" i="19"/>
  <c r="X22" i="19"/>
  <c r="Y22" i="19"/>
  <c r="Z22" i="19"/>
  <c r="AA22" i="19"/>
  <c r="AB22" i="19"/>
  <c r="AC22" i="19"/>
  <c r="AD22" i="19"/>
  <c r="AE22" i="19"/>
  <c r="AF22" i="19"/>
  <c r="AG22" i="19"/>
  <c r="AH22" i="19"/>
  <c r="AI22" i="19"/>
  <c r="AJ22" i="19"/>
  <c r="AK22" i="19"/>
  <c r="AL22" i="19"/>
  <c r="AM22" i="19"/>
  <c r="AN22" i="19"/>
  <c r="AO22" i="19"/>
  <c r="AP22" i="19"/>
  <c r="AQ22" i="19"/>
  <c r="AR22" i="19"/>
  <c r="AS22" i="19"/>
  <c r="AT22" i="19"/>
  <c r="AU22" i="19"/>
  <c r="AV22" i="19"/>
  <c r="AW22" i="19"/>
  <c r="AX22" i="19"/>
  <c r="AY22" i="19"/>
  <c r="AZ22" i="19"/>
  <c r="BA22" i="19"/>
  <c r="D22" i="17"/>
  <c r="J61" i="13"/>
  <c r="C62" i="13"/>
  <c r="H62" i="13"/>
  <c r="J61" i="14"/>
  <c r="C62" i="14"/>
  <c r="H62" i="14"/>
  <c r="Z40" i="14"/>
  <c r="O23" i="21"/>
  <c r="F21" i="21"/>
  <c r="E24" i="21"/>
  <c r="E27" i="21"/>
  <c r="E30" i="21"/>
  <c r="O23" i="20"/>
  <c r="I36" i="24"/>
  <c r="D37" i="24"/>
  <c r="K37" i="25"/>
  <c r="J38" i="25"/>
  <c r="F17" i="18"/>
  <c r="F18" i="18"/>
  <c r="F17" i="20"/>
  <c r="F17" i="21"/>
  <c r="F17" i="22"/>
  <c r="G48" i="16"/>
  <c r="F17" i="23"/>
  <c r="L15" i="21"/>
  <c r="K18" i="21"/>
  <c r="M15" i="20"/>
  <c r="L18" i="20"/>
  <c r="E27" i="23"/>
  <c r="E30" i="23"/>
  <c r="E24" i="18"/>
  <c r="F21" i="18"/>
  <c r="C21" i="17"/>
  <c r="C24" i="17"/>
  <c r="C42" i="24"/>
  <c r="G33" i="13"/>
  <c r="G37" i="13"/>
  <c r="G44" i="13"/>
  <c r="G46" i="13"/>
  <c r="G50" i="13"/>
  <c r="H48" i="13"/>
  <c r="G33" i="14"/>
  <c r="G37" i="14"/>
  <c r="G44" i="14"/>
  <c r="G46" i="14"/>
  <c r="G50" i="14"/>
  <c r="H48" i="14"/>
  <c r="G33" i="15"/>
  <c r="G37" i="15"/>
  <c r="G44" i="15"/>
  <c r="G46" i="15"/>
  <c r="G50" i="15"/>
  <c r="H48" i="15"/>
  <c r="G33" i="16"/>
  <c r="G172" i="8"/>
  <c r="G174" i="8"/>
  <c r="N33" i="20"/>
  <c r="M37" i="20"/>
  <c r="J8" i="19"/>
  <c r="J12" i="23"/>
  <c r="K8" i="23"/>
  <c r="J10" i="23"/>
  <c r="F35" i="23"/>
  <c r="E37" i="23"/>
  <c r="J61" i="16"/>
  <c r="C62" i="16"/>
  <c r="H62" i="16"/>
  <c r="Z40" i="16"/>
  <c r="Z40" i="13"/>
  <c r="K36" i="24"/>
  <c r="J37" i="24"/>
  <c r="E24" i="19"/>
  <c r="E27" i="19"/>
  <c r="E30" i="19"/>
  <c r="F21" i="19"/>
  <c r="H38" i="25"/>
  <c r="B39" i="25"/>
  <c r="E38" i="25"/>
  <c r="I38" i="25"/>
  <c r="D39" i="25"/>
  <c r="G38" i="25"/>
  <c r="C37" i="12"/>
  <c r="C44" i="12"/>
  <c r="C46" i="12"/>
  <c r="U15" i="20"/>
  <c r="M15" i="19"/>
  <c r="N15" i="23"/>
  <c r="F21" i="22"/>
  <c r="E24" i="22"/>
  <c r="E27" i="22"/>
  <c r="E30" i="22"/>
  <c r="O23" i="22"/>
  <c r="L18" i="22"/>
  <c r="M15" i="22"/>
  <c r="I10" i="19"/>
  <c r="I34" i="13"/>
  <c r="I34" i="15"/>
  <c r="I34" i="16"/>
  <c r="F34" i="12"/>
  <c r="I166" i="8"/>
  <c r="I34" i="14"/>
  <c r="C17" i="17"/>
  <c r="C18" i="17"/>
  <c r="C27" i="17"/>
  <c r="C30" i="17"/>
  <c r="E18" i="18"/>
  <c r="E27" i="18"/>
  <c r="E30" i="18"/>
  <c r="R22" i="20"/>
  <c r="S22" i="20"/>
  <c r="T22" i="20"/>
  <c r="U22" i="20"/>
  <c r="V22" i="20"/>
  <c r="W22" i="20"/>
  <c r="X22" i="20"/>
  <c r="Y22" i="20"/>
  <c r="Z22" i="20"/>
  <c r="AA22" i="20"/>
  <c r="AB22" i="20"/>
  <c r="AC22" i="20"/>
  <c r="S22" i="23"/>
  <c r="T22" i="23"/>
  <c r="U22" i="23"/>
  <c r="V22" i="23"/>
  <c r="W22" i="23"/>
  <c r="X22" i="23"/>
  <c r="Y22" i="23"/>
  <c r="Z22" i="23"/>
  <c r="AA22" i="23"/>
  <c r="AB22" i="23"/>
  <c r="AC22" i="23"/>
  <c r="AD22" i="23"/>
  <c r="AE22" i="23"/>
  <c r="AF22" i="23"/>
  <c r="AG22" i="23"/>
  <c r="AH22" i="23"/>
  <c r="AI22" i="23"/>
  <c r="AJ22" i="23"/>
  <c r="AK22" i="23"/>
  <c r="AL22" i="23"/>
  <c r="AM22" i="23"/>
  <c r="AN22" i="23"/>
  <c r="AO22" i="23"/>
  <c r="AP22" i="23"/>
  <c r="F35" i="18"/>
  <c r="C35" i="17"/>
  <c r="G80" i="7"/>
  <c r="G35" i="21"/>
  <c r="G78" i="7"/>
  <c r="M10" i="21"/>
  <c r="M12" i="21"/>
  <c r="N8" i="21"/>
  <c r="M12" i="20"/>
  <c r="N8" i="20"/>
  <c r="M10" i="20"/>
  <c r="AQ22" i="23"/>
  <c r="AP22" i="22"/>
  <c r="K8" i="19"/>
  <c r="K10" i="23"/>
  <c r="K12" i="23"/>
  <c r="L8" i="23"/>
  <c r="G21" i="18"/>
  <c r="F24" i="18"/>
  <c r="H80" i="7"/>
  <c r="H35" i="21"/>
  <c r="H78" i="7"/>
  <c r="N37" i="18"/>
  <c r="O33" i="18"/>
  <c r="M12" i="22"/>
  <c r="N8" i="22"/>
  <c r="M10" i="22"/>
  <c r="G35" i="22"/>
  <c r="H35" i="22"/>
  <c r="AD22" i="20"/>
  <c r="AE22" i="20"/>
  <c r="AF22" i="20"/>
  <c r="AG22" i="20"/>
  <c r="AH22" i="20"/>
  <c r="AI22" i="20"/>
  <c r="AJ22" i="20"/>
  <c r="AK22" i="20"/>
  <c r="AL22" i="20"/>
  <c r="AM22" i="20"/>
  <c r="AN22" i="20"/>
  <c r="AO22" i="20"/>
  <c r="AP22" i="20"/>
  <c r="AQ22" i="20"/>
  <c r="AR22" i="20"/>
  <c r="AS22" i="20"/>
  <c r="AT22" i="20"/>
  <c r="AU22" i="20"/>
  <c r="AV22" i="20"/>
  <c r="AW22" i="20"/>
  <c r="AX22" i="20"/>
  <c r="AY22" i="20"/>
  <c r="AZ22" i="20"/>
  <c r="BA22" i="20"/>
  <c r="E22" i="17"/>
  <c r="F68" i="3"/>
  <c r="I170" i="8"/>
  <c r="I68" i="7"/>
  <c r="I72" i="7"/>
  <c r="I74" i="7"/>
  <c r="I76" i="7"/>
  <c r="N15" i="19"/>
  <c r="V15" i="20"/>
  <c r="O15" i="23"/>
  <c r="C50" i="12"/>
  <c r="D48" i="12"/>
  <c r="E39" i="25"/>
  <c r="I39" i="25"/>
  <c r="D40" i="25"/>
  <c r="B40" i="25"/>
  <c r="H39" i="25"/>
  <c r="G39" i="25"/>
  <c r="K37" i="24"/>
  <c r="J38" i="24"/>
  <c r="D33" i="12"/>
  <c r="G37" i="16"/>
  <c r="G44" i="16"/>
  <c r="G46" i="16"/>
  <c r="G50" i="16"/>
  <c r="C43" i="24"/>
  <c r="F27" i="18"/>
  <c r="F30" i="18"/>
  <c r="E37" i="24"/>
  <c r="P167" i="8"/>
  <c r="P69" i="7"/>
  <c r="M69" i="3"/>
  <c r="B38" i="24"/>
  <c r="H37" i="24"/>
  <c r="P41" i="16"/>
  <c r="M41" i="12"/>
  <c r="G37" i="24"/>
  <c r="M33" i="22"/>
  <c r="L37" i="22"/>
  <c r="W16" i="20"/>
  <c r="O16" i="19"/>
  <c r="P16" i="23"/>
  <c r="G35" i="20"/>
  <c r="H35" i="20"/>
  <c r="G35" i="19"/>
  <c r="H35" i="19"/>
  <c r="L23" i="18"/>
  <c r="M23" i="23"/>
  <c r="L23" i="19"/>
  <c r="AP22" i="21"/>
  <c r="AQ22" i="21"/>
  <c r="AR22" i="21"/>
  <c r="AS22" i="21"/>
  <c r="AT22" i="21"/>
  <c r="AU22" i="21"/>
  <c r="AV22" i="21"/>
  <c r="AW22" i="21"/>
  <c r="AX22" i="21"/>
  <c r="AY22" i="21"/>
  <c r="AZ22" i="21"/>
  <c r="BA22" i="21"/>
  <c r="F22" i="17"/>
  <c r="C43" i="25"/>
  <c r="F17" i="19"/>
  <c r="F18" i="19"/>
  <c r="F27" i="19"/>
  <c r="F30" i="19"/>
  <c r="F18" i="23"/>
  <c r="G21" i="23"/>
  <c r="F24" i="23"/>
  <c r="M15" i="21"/>
  <c r="L18" i="21"/>
  <c r="M37" i="19"/>
  <c r="N33" i="19"/>
  <c r="M10" i="18"/>
  <c r="M12" i="18"/>
  <c r="N8" i="18"/>
  <c r="N15" i="20"/>
  <c r="M18" i="20"/>
  <c r="P33" i="21"/>
  <c r="O37" i="21"/>
  <c r="N15" i="22"/>
  <c r="M18" i="22"/>
  <c r="G35" i="23"/>
  <c r="F37" i="23"/>
  <c r="K38" i="25"/>
  <c r="J39" i="25"/>
  <c r="G35" i="18"/>
  <c r="H35" i="18"/>
  <c r="G21" i="22"/>
  <c r="F24" i="22"/>
  <c r="F27" i="22"/>
  <c r="F30" i="22"/>
  <c r="G21" i="19"/>
  <c r="F24" i="19"/>
  <c r="J10" i="19"/>
  <c r="J12" i="19"/>
  <c r="J34" i="13"/>
  <c r="J34" i="14"/>
  <c r="J34" i="15"/>
  <c r="J166" i="8"/>
  <c r="J34" i="16"/>
  <c r="G34" i="12"/>
  <c r="O33" i="20"/>
  <c r="N37" i="20"/>
  <c r="G21" i="21"/>
  <c r="F24" i="21"/>
  <c r="F27" i="21"/>
  <c r="F30" i="21"/>
  <c r="G36" i="24"/>
  <c r="N15" i="18"/>
  <c r="H33" i="15"/>
  <c r="H37" i="15"/>
  <c r="H44" i="15"/>
  <c r="H46" i="15"/>
  <c r="H50" i="15"/>
  <c r="I48" i="15"/>
  <c r="H33" i="16"/>
  <c r="H33" i="13"/>
  <c r="H37" i="13"/>
  <c r="H44" i="13"/>
  <c r="H46" i="13"/>
  <c r="H50" i="13"/>
  <c r="I48" i="13"/>
  <c r="H172" i="8"/>
  <c r="H174" i="8"/>
  <c r="H33" i="14"/>
  <c r="H37" i="14"/>
  <c r="H44" i="14"/>
  <c r="H46" i="14"/>
  <c r="H50" i="14"/>
  <c r="I48" i="14"/>
  <c r="G21" i="20"/>
  <c r="F24" i="20"/>
  <c r="F27" i="20"/>
  <c r="F30" i="20"/>
  <c r="Q33" i="23"/>
  <c r="N10" i="21"/>
  <c r="N12" i="21"/>
  <c r="O8" i="21"/>
  <c r="G24" i="20"/>
  <c r="G27" i="20"/>
  <c r="G30" i="20"/>
  <c r="H21" i="20"/>
  <c r="H21" i="22"/>
  <c r="G24" i="22"/>
  <c r="G27" i="22"/>
  <c r="G30" i="22"/>
  <c r="G24" i="23"/>
  <c r="H21" i="23"/>
  <c r="C44" i="25"/>
  <c r="E38" i="24"/>
  <c r="Q167" i="8"/>
  <c r="Q69" i="7"/>
  <c r="N69" i="3"/>
  <c r="P69" i="3"/>
  <c r="D69" i="1"/>
  <c r="B39" i="24"/>
  <c r="H38" i="24"/>
  <c r="Q41" i="16"/>
  <c r="N41" i="12"/>
  <c r="P41" i="12"/>
  <c r="G38" i="24"/>
  <c r="D37" i="12"/>
  <c r="D44" i="12"/>
  <c r="D46" i="12"/>
  <c r="I33" i="13"/>
  <c r="I37" i="13"/>
  <c r="I44" i="13"/>
  <c r="I46" i="13"/>
  <c r="I50" i="13"/>
  <c r="J48" i="13"/>
  <c r="I33" i="14"/>
  <c r="I37" i="14"/>
  <c r="I44" i="14"/>
  <c r="I46" i="14"/>
  <c r="I50" i="14"/>
  <c r="J48" i="14"/>
  <c r="I33" i="16"/>
  <c r="I33" i="15"/>
  <c r="I37" i="15"/>
  <c r="I44" i="15"/>
  <c r="I46" i="15"/>
  <c r="I50" i="15"/>
  <c r="J48" i="15"/>
  <c r="I172" i="8"/>
  <c r="I174" i="8"/>
  <c r="I37" i="24"/>
  <c r="D38" i="24"/>
  <c r="K10" i="19"/>
  <c r="K12" i="19"/>
  <c r="K34" i="13"/>
  <c r="K34" i="14"/>
  <c r="K34" i="15"/>
  <c r="K34" i="16"/>
  <c r="K166" i="8"/>
  <c r="AQ22" i="22"/>
  <c r="AR22" i="23"/>
  <c r="O15" i="18"/>
  <c r="J170" i="8"/>
  <c r="J68" i="7"/>
  <c r="J72" i="7"/>
  <c r="J74" i="7"/>
  <c r="J76" i="7"/>
  <c r="G68" i="3"/>
  <c r="G72" i="3"/>
  <c r="G74" i="3"/>
  <c r="G76" i="3"/>
  <c r="O15" i="22"/>
  <c r="N18" i="22"/>
  <c r="O33" i="19"/>
  <c r="N37" i="19"/>
  <c r="O15" i="19"/>
  <c r="P15" i="23"/>
  <c r="W15" i="20"/>
  <c r="O37" i="18"/>
  <c r="P33" i="18"/>
  <c r="P23" i="21"/>
  <c r="N10" i="20"/>
  <c r="N12" i="20"/>
  <c r="O8" i="20"/>
  <c r="E33" i="12"/>
  <c r="E37" i="12"/>
  <c r="E44" i="12"/>
  <c r="E46" i="12"/>
  <c r="H37" i="16"/>
  <c r="H44" i="16"/>
  <c r="H46" i="16"/>
  <c r="P33" i="20"/>
  <c r="O37" i="20"/>
  <c r="H21" i="19"/>
  <c r="G24" i="19"/>
  <c r="K39" i="25"/>
  <c r="J40" i="25"/>
  <c r="N12" i="18"/>
  <c r="O8" i="18"/>
  <c r="N10" i="18"/>
  <c r="M23" i="18"/>
  <c r="M23" i="19"/>
  <c r="N23" i="23"/>
  <c r="P16" i="19"/>
  <c r="X16" i="20"/>
  <c r="Q16" i="23"/>
  <c r="N33" i="22"/>
  <c r="M37" i="22"/>
  <c r="F72" i="3"/>
  <c r="F74" i="3"/>
  <c r="F76" i="3"/>
  <c r="G17" i="18"/>
  <c r="G18" i="18"/>
  <c r="G17" i="20"/>
  <c r="G17" i="21"/>
  <c r="G17" i="23"/>
  <c r="G17" i="22"/>
  <c r="H48" i="16"/>
  <c r="I78" i="7"/>
  <c r="I80" i="7"/>
  <c r="L8" i="19"/>
  <c r="L10" i="23"/>
  <c r="L12" i="23"/>
  <c r="M8" i="23"/>
  <c r="H35" i="23"/>
  <c r="G37" i="23"/>
  <c r="N18" i="20"/>
  <c r="O15" i="20"/>
  <c r="R33" i="23"/>
  <c r="H21" i="21"/>
  <c r="G24" i="21"/>
  <c r="G27" i="21"/>
  <c r="G30" i="21"/>
  <c r="Q33" i="21"/>
  <c r="P37" i="21"/>
  <c r="N15" i="21"/>
  <c r="M18" i="21"/>
  <c r="F27" i="23"/>
  <c r="F30" i="23"/>
  <c r="P23" i="20"/>
  <c r="C44" i="24"/>
  <c r="K38" i="24"/>
  <c r="J39" i="24"/>
  <c r="E40" i="25"/>
  <c r="I40" i="25"/>
  <c r="D41" i="25"/>
  <c r="H40" i="25"/>
  <c r="B41" i="25"/>
  <c r="G40" i="25"/>
  <c r="P23" i="22"/>
  <c r="Q23" i="22"/>
  <c r="N12" i="22"/>
  <c r="O8" i="22"/>
  <c r="N10" i="22"/>
  <c r="H21" i="18"/>
  <c r="G24" i="18"/>
  <c r="O10" i="20"/>
  <c r="O12" i="20"/>
  <c r="P8" i="20"/>
  <c r="M8" i="19"/>
  <c r="M10" i="23"/>
  <c r="I35" i="21"/>
  <c r="I35" i="20"/>
  <c r="I35" i="18"/>
  <c r="I35" i="22"/>
  <c r="I35" i="19"/>
  <c r="C45" i="24"/>
  <c r="C45" i="25"/>
  <c r="O10" i="21"/>
  <c r="O12" i="21"/>
  <c r="P8" i="21"/>
  <c r="I21" i="18"/>
  <c r="H24" i="18"/>
  <c r="K39" i="24"/>
  <c r="J40" i="24"/>
  <c r="Q23" i="20"/>
  <c r="S33" i="23"/>
  <c r="I35" i="23"/>
  <c r="H37" i="23"/>
  <c r="G17" i="19"/>
  <c r="G18" i="19"/>
  <c r="G27" i="19"/>
  <c r="G30" i="19"/>
  <c r="G18" i="23"/>
  <c r="G27" i="23"/>
  <c r="G30" i="23"/>
  <c r="P37" i="20"/>
  <c r="Q33" i="20"/>
  <c r="J78" i="7"/>
  <c r="J80" i="7"/>
  <c r="AR22" i="22"/>
  <c r="AS22" i="23"/>
  <c r="I38" i="24"/>
  <c r="D39" i="24"/>
  <c r="F33" i="12"/>
  <c r="F37" i="12"/>
  <c r="F44" i="12"/>
  <c r="F46" i="12"/>
  <c r="I37" i="16"/>
  <c r="I44" i="16"/>
  <c r="I46" i="16"/>
  <c r="H39" i="24"/>
  <c r="R41" i="16"/>
  <c r="R41" i="13"/>
  <c r="B40" i="24"/>
  <c r="E39" i="24"/>
  <c r="R167" i="8"/>
  <c r="R69" i="7"/>
  <c r="C69" i="4"/>
  <c r="G39" i="24"/>
  <c r="I21" i="22"/>
  <c r="H24" i="22"/>
  <c r="H27" i="22"/>
  <c r="H30" i="22"/>
  <c r="G27" i="18"/>
  <c r="G30" i="18"/>
  <c r="K40" i="25"/>
  <c r="J41" i="25"/>
  <c r="P15" i="18"/>
  <c r="H34" i="12"/>
  <c r="H41" i="25"/>
  <c r="B42" i="25"/>
  <c r="E41" i="25"/>
  <c r="I41" i="25"/>
  <c r="D42" i="25"/>
  <c r="G41" i="25"/>
  <c r="Q37" i="21"/>
  <c r="R33" i="21"/>
  <c r="O18" i="20"/>
  <c r="P15" i="20"/>
  <c r="N37" i="22"/>
  <c r="O33" i="22"/>
  <c r="N23" i="18"/>
  <c r="N23" i="19"/>
  <c r="O23" i="23"/>
  <c r="H50" i="16"/>
  <c r="Q23" i="21"/>
  <c r="R23" i="21"/>
  <c r="P15" i="22"/>
  <c r="O18" i="22"/>
  <c r="J33" i="13"/>
  <c r="J37" i="13"/>
  <c r="J44" i="13"/>
  <c r="J46" i="13"/>
  <c r="J50" i="13"/>
  <c r="K48" i="13"/>
  <c r="J33" i="14"/>
  <c r="J37" i="14"/>
  <c r="J44" i="14"/>
  <c r="J46" i="14"/>
  <c r="J50" i="14"/>
  <c r="K48" i="14"/>
  <c r="J33" i="15"/>
  <c r="J37" i="15"/>
  <c r="J44" i="15"/>
  <c r="J46" i="15"/>
  <c r="J50" i="15"/>
  <c r="K48" i="15"/>
  <c r="J33" i="16"/>
  <c r="J172" i="8"/>
  <c r="J174" i="8"/>
  <c r="D50" i="12"/>
  <c r="E48" i="12"/>
  <c r="I21" i="23"/>
  <c r="H24" i="23"/>
  <c r="I21" i="20"/>
  <c r="H24" i="20"/>
  <c r="H27" i="20"/>
  <c r="H30" i="20"/>
  <c r="R23" i="22"/>
  <c r="O15" i="21"/>
  <c r="N18" i="21"/>
  <c r="O10" i="22"/>
  <c r="O12" i="22"/>
  <c r="P8" i="22"/>
  <c r="I21" i="21"/>
  <c r="H24" i="21"/>
  <c r="H27" i="21"/>
  <c r="H30" i="21"/>
  <c r="L10" i="19"/>
  <c r="L12" i="19"/>
  <c r="L34" i="13"/>
  <c r="L34" i="16"/>
  <c r="I34" i="12"/>
  <c r="L34" i="15"/>
  <c r="L34" i="14"/>
  <c r="L166" i="8"/>
  <c r="Q16" i="19"/>
  <c r="D16" i="17"/>
  <c r="Y16" i="20"/>
  <c r="R16" i="23"/>
  <c r="O12" i="18"/>
  <c r="P8" i="18"/>
  <c r="O10" i="18"/>
  <c r="H24" i="19"/>
  <c r="I21" i="19"/>
  <c r="E50" i="12"/>
  <c r="F48" i="12"/>
  <c r="P37" i="18"/>
  <c r="Q33" i="18"/>
  <c r="P15" i="19"/>
  <c r="X15" i="20"/>
  <c r="Q15" i="23"/>
  <c r="P33" i="19"/>
  <c r="O37" i="19"/>
  <c r="K68" i="7"/>
  <c r="K72" i="7"/>
  <c r="K74" i="7"/>
  <c r="K76" i="7"/>
  <c r="K170" i="8"/>
  <c r="H68" i="3"/>
  <c r="H72" i="3"/>
  <c r="H74" i="3"/>
  <c r="H76" i="3"/>
  <c r="P10" i="22"/>
  <c r="P12" i="22"/>
  <c r="Q8" i="22"/>
  <c r="P10" i="21"/>
  <c r="P12" i="21"/>
  <c r="Q8" i="21"/>
  <c r="I68" i="3"/>
  <c r="I72" i="3"/>
  <c r="I74" i="3"/>
  <c r="I76" i="3"/>
  <c r="L68" i="7"/>
  <c r="L72" i="7"/>
  <c r="L74" i="7"/>
  <c r="L76" i="7"/>
  <c r="L170" i="8"/>
  <c r="J21" i="21"/>
  <c r="I24" i="21"/>
  <c r="I27" i="21"/>
  <c r="I30" i="21"/>
  <c r="J21" i="20"/>
  <c r="I24" i="20"/>
  <c r="I27" i="20"/>
  <c r="I30" i="20"/>
  <c r="O23" i="18"/>
  <c r="O23" i="19"/>
  <c r="P23" i="23"/>
  <c r="S33" i="21"/>
  <c r="R37" i="21"/>
  <c r="H42" i="25"/>
  <c r="B43" i="25"/>
  <c r="E42" i="25"/>
  <c r="I42" i="25"/>
  <c r="D43" i="25"/>
  <c r="G42" i="25"/>
  <c r="P37" i="19"/>
  <c r="Q33" i="19"/>
  <c r="J21" i="19"/>
  <c r="I24" i="19"/>
  <c r="Z16" i="20"/>
  <c r="R16" i="19"/>
  <c r="S16" i="23"/>
  <c r="O18" i="21"/>
  <c r="P15" i="21"/>
  <c r="Q15" i="18"/>
  <c r="R33" i="20"/>
  <c r="Q37" i="20"/>
  <c r="I24" i="18"/>
  <c r="J21" i="18"/>
  <c r="C46" i="25"/>
  <c r="J35" i="19"/>
  <c r="J35" i="21"/>
  <c r="P10" i="18"/>
  <c r="P12" i="18"/>
  <c r="Q8" i="18"/>
  <c r="Q15" i="22"/>
  <c r="P18" i="22"/>
  <c r="AS22" i="22"/>
  <c r="AT22" i="23"/>
  <c r="J35" i="20"/>
  <c r="K33" i="14"/>
  <c r="K37" i="14"/>
  <c r="K44" i="14"/>
  <c r="K46" i="14"/>
  <c r="K50" i="14"/>
  <c r="L48" i="14"/>
  <c r="K33" i="15"/>
  <c r="K37" i="15"/>
  <c r="K44" i="15"/>
  <c r="K46" i="15"/>
  <c r="K50" i="15"/>
  <c r="L48" i="15"/>
  <c r="K33" i="13"/>
  <c r="K37" i="13"/>
  <c r="K44" i="13"/>
  <c r="K46" i="13"/>
  <c r="K50" i="13"/>
  <c r="L48" i="13"/>
  <c r="K33" i="16"/>
  <c r="K172" i="8"/>
  <c r="K174" i="8"/>
  <c r="R33" i="18"/>
  <c r="Q37" i="18"/>
  <c r="J21" i="23"/>
  <c r="I24" i="23"/>
  <c r="Q15" i="20"/>
  <c r="Q18" i="20"/>
  <c r="P18" i="20"/>
  <c r="H40" i="24"/>
  <c r="S41" i="16"/>
  <c r="S41" i="13"/>
  <c r="B41" i="24"/>
  <c r="E40" i="24"/>
  <c r="S167" i="8"/>
  <c r="S69" i="7"/>
  <c r="D69" i="4"/>
  <c r="G40" i="24"/>
  <c r="F50" i="12"/>
  <c r="G48" i="12"/>
  <c r="J35" i="23"/>
  <c r="I37" i="23"/>
  <c r="K40" i="24"/>
  <c r="J41" i="24"/>
  <c r="J35" i="22"/>
  <c r="M10" i="19"/>
  <c r="M12" i="19"/>
  <c r="M34" i="13"/>
  <c r="M34" i="14"/>
  <c r="M34" i="16"/>
  <c r="J34" i="12"/>
  <c r="M166" i="8"/>
  <c r="M34" i="15"/>
  <c r="P12" i="20"/>
  <c r="Q8" i="20"/>
  <c r="P10" i="20"/>
  <c r="K78" i="7"/>
  <c r="K80" i="7"/>
  <c r="Y15" i="20"/>
  <c r="Q15" i="19"/>
  <c r="R15" i="23"/>
  <c r="G33" i="12"/>
  <c r="J37" i="16"/>
  <c r="J44" i="16"/>
  <c r="J46" i="16"/>
  <c r="H17" i="18"/>
  <c r="H18" i="18"/>
  <c r="H27" i="18"/>
  <c r="H30" i="18"/>
  <c r="H17" i="20"/>
  <c r="H17" i="21"/>
  <c r="H17" i="22"/>
  <c r="H17" i="23"/>
  <c r="I48" i="16"/>
  <c r="I50" i="16"/>
  <c r="P33" i="22"/>
  <c r="O37" i="22"/>
  <c r="J42" i="25"/>
  <c r="K41" i="25"/>
  <c r="J21" i="22"/>
  <c r="I24" i="22"/>
  <c r="I27" i="22"/>
  <c r="I30" i="22"/>
  <c r="I39" i="24"/>
  <c r="D40" i="24"/>
  <c r="T33" i="23"/>
  <c r="C46" i="24"/>
  <c r="J35" i="18"/>
  <c r="M12" i="23"/>
  <c r="N8" i="23"/>
  <c r="Q10" i="21"/>
  <c r="Q12" i="21"/>
  <c r="R8" i="21"/>
  <c r="I17" i="18"/>
  <c r="I18" i="18"/>
  <c r="I27" i="18"/>
  <c r="I30" i="18"/>
  <c r="I17" i="22"/>
  <c r="I17" i="23"/>
  <c r="I17" i="21"/>
  <c r="I17" i="20"/>
  <c r="J48" i="16"/>
  <c r="U33" i="23"/>
  <c r="L78" i="7"/>
  <c r="L80" i="7"/>
  <c r="K21" i="23"/>
  <c r="J24" i="23"/>
  <c r="C47" i="25"/>
  <c r="S33" i="20"/>
  <c r="R37" i="20"/>
  <c r="S16" i="19"/>
  <c r="AA16" i="20"/>
  <c r="T16" i="23"/>
  <c r="K21" i="19"/>
  <c r="J24" i="19"/>
  <c r="K35" i="18"/>
  <c r="Q10" i="20"/>
  <c r="Q12" i="20"/>
  <c r="S33" i="18"/>
  <c r="R37" i="18"/>
  <c r="Q10" i="18"/>
  <c r="Q12" i="18"/>
  <c r="R8" i="18"/>
  <c r="P23" i="18"/>
  <c r="P23" i="19"/>
  <c r="Q23" i="23"/>
  <c r="C47" i="24"/>
  <c r="K42" i="25"/>
  <c r="J43" i="25"/>
  <c r="Q33" i="22"/>
  <c r="P37" i="22"/>
  <c r="Z15" i="20"/>
  <c r="R15" i="19"/>
  <c r="S15" i="23"/>
  <c r="S23" i="22"/>
  <c r="H33" i="12"/>
  <c r="H37" i="12"/>
  <c r="H44" i="12"/>
  <c r="H46" i="12"/>
  <c r="K37" i="16"/>
  <c r="K44" i="16"/>
  <c r="K46" i="16"/>
  <c r="K35" i="20"/>
  <c r="R15" i="22"/>
  <c r="Q18" i="22"/>
  <c r="K35" i="21"/>
  <c r="J24" i="18"/>
  <c r="K21" i="18"/>
  <c r="J24" i="21"/>
  <c r="J27" i="21"/>
  <c r="J30" i="21"/>
  <c r="K21" i="21"/>
  <c r="Q10" i="22"/>
  <c r="Q12" i="22"/>
  <c r="R8" i="22"/>
  <c r="K21" i="22"/>
  <c r="J24" i="22"/>
  <c r="J27" i="22"/>
  <c r="J30" i="22"/>
  <c r="H17" i="19"/>
  <c r="H18" i="19"/>
  <c r="H27" i="19"/>
  <c r="H30" i="19"/>
  <c r="H18" i="23"/>
  <c r="H27" i="23"/>
  <c r="H30" i="23"/>
  <c r="K41" i="24"/>
  <c r="J42" i="24"/>
  <c r="R15" i="18"/>
  <c r="E43" i="25"/>
  <c r="I43" i="25"/>
  <c r="D44" i="25"/>
  <c r="H43" i="25"/>
  <c r="B44" i="25"/>
  <c r="G43" i="25"/>
  <c r="J24" i="20"/>
  <c r="J27" i="20"/>
  <c r="J30" i="20"/>
  <c r="K21" i="20"/>
  <c r="I40" i="24"/>
  <c r="D41" i="24"/>
  <c r="J50" i="16"/>
  <c r="J68" i="3"/>
  <c r="J72" i="3"/>
  <c r="J74" i="3"/>
  <c r="J76" i="3"/>
  <c r="M170" i="8"/>
  <c r="M68" i="7"/>
  <c r="M72" i="7"/>
  <c r="M74" i="7"/>
  <c r="M76" i="7"/>
  <c r="N8" i="19"/>
  <c r="N10" i="23"/>
  <c r="N12" i="23"/>
  <c r="O8" i="23"/>
  <c r="G37" i="12"/>
  <c r="G44" i="12"/>
  <c r="G46" i="12"/>
  <c r="D15" i="17"/>
  <c r="K35" i="22"/>
  <c r="K35" i="23"/>
  <c r="J37" i="23"/>
  <c r="E41" i="24"/>
  <c r="T167" i="8"/>
  <c r="T69" i="7"/>
  <c r="E69" i="4"/>
  <c r="H41" i="24"/>
  <c r="T41" i="16"/>
  <c r="T41" i="13"/>
  <c r="B42" i="24"/>
  <c r="G41" i="24"/>
  <c r="S23" i="21"/>
  <c r="T23" i="21"/>
  <c r="AU22" i="23"/>
  <c r="AT22" i="22"/>
  <c r="K35" i="19"/>
  <c r="Q15" i="21"/>
  <c r="P18" i="21"/>
  <c r="Q37" i="19"/>
  <c r="R33" i="19"/>
  <c r="T33" i="21"/>
  <c r="S37" i="21"/>
  <c r="L33" i="13"/>
  <c r="L37" i="13"/>
  <c r="L44" i="13"/>
  <c r="L46" i="13"/>
  <c r="L50" i="13"/>
  <c r="M48" i="13"/>
  <c r="L33" i="14"/>
  <c r="L37" i="14"/>
  <c r="L44" i="14"/>
  <c r="L46" i="14"/>
  <c r="L50" i="14"/>
  <c r="M48" i="14"/>
  <c r="L33" i="16"/>
  <c r="L172" i="8"/>
  <c r="L174" i="8"/>
  <c r="L33" i="15"/>
  <c r="L37" i="15"/>
  <c r="L44" i="15"/>
  <c r="L46" i="15"/>
  <c r="L50" i="15"/>
  <c r="M48" i="15"/>
  <c r="O8" i="19"/>
  <c r="O10" i="23"/>
  <c r="R10" i="22"/>
  <c r="R12" i="22"/>
  <c r="S8" i="22"/>
  <c r="R10" i="21"/>
  <c r="R12" i="21"/>
  <c r="S8" i="21"/>
  <c r="T37" i="21"/>
  <c r="U33" i="21"/>
  <c r="R15" i="21"/>
  <c r="Q18" i="21"/>
  <c r="M78" i="7"/>
  <c r="M80" i="7"/>
  <c r="L21" i="22"/>
  <c r="K24" i="22"/>
  <c r="K27" i="22"/>
  <c r="K30" i="22"/>
  <c r="L21" i="23"/>
  <c r="K24" i="23"/>
  <c r="L35" i="19"/>
  <c r="I41" i="24"/>
  <c r="D42" i="24"/>
  <c r="L21" i="18"/>
  <c r="K24" i="18"/>
  <c r="S15" i="22"/>
  <c r="R18" i="22"/>
  <c r="T23" i="22"/>
  <c r="K43" i="25"/>
  <c r="J44" i="25"/>
  <c r="C48" i="24"/>
  <c r="T33" i="18"/>
  <c r="S37" i="18"/>
  <c r="I33" i="12"/>
  <c r="I37" i="12"/>
  <c r="I44" i="12"/>
  <c r="I46" i="12"/>
  <c r="L37" i="16"/>
  <c r="L44" i="16"/>
  <c r="L46" i="16"/>
  <c r="C48" i="25"/>
  <c r="S33" i="19"/>
  <c r="R37" i="19"/>
  <c r="E42" i="24"/>
  <c r="U167" i="8"/>
  <c r="U69" i="7"/>
  <c r="F69" i="4"/>
  <c r="H42" i="24"/>
  <c r="U41" i="16"/>
  <c r="U41" i="13"/>
  <c r="B43" i="24"/>
  <c r="G42" i="24"/>
  <c r="L35" i="23"/>
  <c r="K37" i="23"/>
  <c r="L21" i="20"/>
  <c r="K24" i="20"/>
  <c r="K27" i="20"/>
  <c r="K30" i="20"/>
  <c r="K42" i="24"/>
  <c r="J43" i="24"/>
  <c r="L35" i="20"/>
  <c r="Q23" i="18"/>
  <c r="Q23" i="19"/>
  <c r="R23" i="23"/>
  <c r="R10" i="18"/>
  <c r="R12" i="18"/>
  <c r="S8" i="18"/>
  <c r="L21" i="19"/>
  <c r="K24" i="19"/>
  <c r="I17" i="19"/>
  <c r="I18" i="19"/>
  <c r="I27" i="19"/>
  <c r="I30" i="19"/>
  <c r="I18" i="23"/>
  <c r="I27" i="23"/>
  <c r="I30" i="23"/>
  <c r="G50" i="12"/>
  <c r="H48" i="12"/>
  <c r="H50" i="12"/>
  <c r="I48" i="12"/>
  <c r="S15" i="18"/>
  <c r="S15" i="19"/>
  <c r="AA15" i="20"/>
  <c r="T15" i="23"/>
  <c r="Q37" i="22"/>
  <c r="R33" i="22"/>
  <c r="L35" i="18"/>
  <c r="M35" i="18"/>
  <c r="V33" i="23"/>
  <c r="N10" i="19"/>
  <c r="N34" i="14"/>
  <c r="N34" i="15"/>
  <c r="N34" i="13"/>
  <c r="N34" i="16"/>
  <c r="K34" i="12"/>
  <c r="N166" i="8"/>
  <c r="M33" i="13"/>
  <c r="M37" i="13"/>
  <c r="M44" i="13"/>
  <c r="M46" i="13"/>
  <c r="M50" i="13"/>
  <c r="N48" i="13"/>
  <c r="M33" i="15"/>
  <c r="M37" i="15"/>
  <c r="M44" i="15"/>
  <c r="M46" i="15"/>
  <c r="M50" i="15"/>
  <c r="N48" i="15"/>
  <c r="M33" i="16"/>
  <c r="M33" i="14"/>
  <c r="M37" i="14"/>
  <c r="M44" i="14"/>
  <c r="M46" i="14"/>
  <c r="M50" i="14"/>
  <c r="N48" i="14"/>
  <c r="M172" i="8"/>
  <c r="M174" i="8"/>
  <c r="E44" i="25"/>
  <c r="I44" i="25"/>
  <c r="D45" i="25"/>
  <c r="B45" i="25"/>
  <c r="H44" i="25"/>
  <c r="G44" i="25"/>
  <c r="AU22" i="22"/>
  <c r="AV22" i="23"/>
  <c r="L35" i="22"/>
  <c r="N12" i="19"/>
  <c r="J17" i="18"/>
  <c r="J18" i="18"/>
  <c r="J27" i="18"/>
  <c r="J30" i="18"/>
  <c r="J17" i="20"/>
  <c r="J17" i="21"/>
  <c r="J17" i="23"/>
  <c r="J17" i="22"/>
  <c r="K48" i="16"/>
  <c r="K24" i="21"/>
  <c r="K27" i="21"/>
  <c r="K30" i="21"/>
  <c r="L21" i="21"/>
  <c r="L35" i="21"/>
  <c r="M35" i="21"/>
  <c r="K50" i="16"/>
  <c r="T16" i="19"/>
  <c r="AB16" i="20"/>
  <c r="U16" i="23"/>
  <c r="S37" i="20"/>
  <c r="T33" i="20"/>
  <c r="S10" i="18"/>
  <c r="S12" i="18"/>
  <c r="T8" i="18"/>
  <c r="S10" i="22"/>
  <c r="S12" i="22"/>
  <c r="T8" i="22"/>
  <c r="U37" i="21"/>
  <c r="V33" i="21"/>
  <c r="H45" i="25"/>
  <c r="B46" i="25"/>
  <c r="E45" i="25"/>
  <c r="I45" i="25"/>
  <c r="D46" i="25"/>
  <c r="G45" i="25"/>
  <c r="I50" i="12"/>
  <c r="J48" i="12"/>
  <c r="C49" i="24"/>
  <c r="U23" i="22"/>
  <c r="M21" i="18"/>
  <c r="L24" i="18"/>
  <c r="L24" i="23"/>
  <c r="M21" i="23"/>
  <c r="U16" i="19"/>
  <c r="AC16" i="20"/>
  <c r="E16" i="17"/>
  <c r="V16" i="23"/>
  <c r="T15" i="19"/>
  <c r="AB15" i="20"/>
  <c r="U15" i="23"/>
  <c r="M35" i="23"/>
  <c r="L37" i="23"/>
  <c r="C49" i="25"/>
  <c r="O10" i="19"/>
  <c r="O12" i="19"/>
  <c r="O34" i="13"/>
  <c r="O34" i="14"/>
  <c r="O34" i="15"/>
  <c r="O34" i="16"/>
  <c r="O166" i="8"/>
  <c r="M21" i="21"/>
  <c r="L24" i="21"/>
  <c r="L27" i="21"/>
  <c r="L30" i="21"/>
  <c r="J33" i="12"/>
  <c r="J37" i="12"/>
  <c r="J44" i="12"/>
  <c r="J46" i="12"/>
  <c r="J50" i="12"/>
  <c r="K48" i="12"/>
  <c r="M37" i="16"/>
  <c r="M44" i="16"/>
  <c r="M46" i="16"/>
  <c r="T15" i="18"/>
  <c r="T37" i="20"/>
  <c r="U33" i="20"/>
  <c r="W33" i="23"/>
  <c r="R23" i="18"/>
  <c r="R23" i="20"/>
  <c r="S23" i="23"/>
  <c r="M35" i="20"/>
  <c r="M21" i="20"/>
  <c r="L24" i="20"/>
  <c r="L27" i="20"/>
  <c r="L30" i="20"/>
  <c r="H43" i="24"/>
  <c r="V41" i="16"/>
  <c r="V41" i="13"/>
  <c r="B44" i="24"/>
  <c r="E43" i="24"/>
  <c r="V167" i="8"/>
  <c r="V69" i="7"/>
  <c r="G69" i="4"/>
  <c r="G43" i="24"/>
  <c r="K44" i="25"/>
  <c r="J45" i="25"/>
  <c r="I42" i="24"/>
  <c r="D43" i="24"/>
  <c r="S10" i="21"/>
  <c r="S12" i="21"/>
  <c r="T8" i="21"/>
  <c r="AV22" i="22"/>
  <c r="AW22" i="23"/>
  <c r="N170" i="8"/>
  <c r="N68" i="7"/>
  <c r="N72" i="7"/>
  <c r="N74" i="7"/>
  <c r="N76" i="7"/>
  <c r="K68" i="3"/>
  <c r="K72" i="3"/>
  <c r="K74" i="3"/>
  <c r="K76" i="3"/>
  <c r="J17" i="19"/>
  <c r="J18" i="19"/>
  <c r="J27" i="19"/>
  <c r="J30" i="19"/>
  <c r="J18" i="23"/>
  <c r="J27" i="23"/>
  <c r="J30" i="23"/>
  <c r="R37" i="22"/>
  <c r="S33" i="22"/>
  <c r="K17" i="18"/>
  <c r="K18" i="18"/>
  <c r="K27" i="18"/>
  <c r="K30" i="18"/>
  <c r="K17" i="20"/>
  <c r="K17" i="21"/>
  <c r="K17" i="23"/>
  <c r="L48" i="16"/>
  <c r="L50" i="16"/>
  <c r="K17" i="22"/>
  <c r="M35" i="22"/>
  <c r="L24" i="19"/>
  <c r="M21" i="19"/>
  <c r="R23" i="19"/>
  <c r="S23" i="19"/>
  <c r="T23" i="19"/>
  <c r="U23" i="19"/>
  <c r="D23" i="17"/>
  <c r="J44" i="24"/>
  <c r="K43" i="24"/>
  <c r="T33" i="19"/>
  <c r="S37" i="19"/>
  <c r="U23" i="21"/>
  <c r="U33" i="18"/>
  <c r="T37" i="18"/>
  <c r="S18" i="22"/>
  <c r="T15" i="22"/>
  <c r="M35" i="19"/>
  <c r="M21" i="22"/>
  <c r="L24" i="22"/>
  <c r="L27" i="22"/>
  <c r="L30" i="22"/>
  <c r="R18" i="21"/>
  <c r="S15" i="21"/>
  <c r="O12" i="23"/>
  <c r="P8" i="23"/>
  <c r="L17" i="18"/>
  <c r="L18" i="18"/>
  <c r="L27" i="18"/>
  <c r="L30" i="18"/>
  <c r="L17" i="20"/>
  <c r="L17" i="21"/>
  <c r="L17" i="22"/>
  <c r="L17" i="23"/>
  <c r="M48" i="16"/>
  <c r="T10" i="22"/>
  <c r="T12" i="22"/>
  <c r="U8" i="22"/>
  <c r="C50" i="25"/>
  <c r="P8" i="19"/>
  <c r="P10" i="23"/>
  <c r="P12" i="23"/>
  <c r="Q8" i="23"/>
  <c r="V23" i="19"/>
  <c r="N78" i="7"/>
  <c r="N80" i="7"/>
  <c r="I43" i="24"/>
  <c r="D44" i="24"/>
  <c r="X33" i="23"/>
  <c r="M50" i="16"/>
  <c r="O68" i="7"/>
  <c r="O72" i="7"/>
  <c r="O74" i="7"/>
  <c r="O76" i="7"/>
  <c r="O170" i="8"/>
  <c r="L68" i="3"/>
  <c r="L72" i="3"/>
  <c r="L74" i="3"/>
  <c r="L76" i="3"/>
  <c r="C50" i="24"/>
  <c r="T12" i="18"/>
  <c r="U8" i="18"/>
  <c r="T10" i="18"/>
  <c r="M24" i="21"/>
  <c r="M27" i="21"/>
  <c r="M30" i="21"/>
  <c r="M24" i="23"/>
  <c r="T15" i="21"/>
  <c r="S18" i="21"/>
  <c r="V33" i="18"/>
  <c r="U37" i="18"/>
  <c r="M24" i="19"/>
  <c r="N21" i="19"/>
  <c r="N33" i="13"/>
  <c r="N37" i="13"/>
  <c r="N44" i="13"/>
  <c r="N46" i="13"/>
  <c r="N50" i="13"/>
  <c r="O48" i="13"/>
  <c r="N33" i="14"/>
  <c r="N37" i="14"/>
  <c r="N44" i="14"/>
  <c r="N46" i="14"/>
  <c r="N50" i="14"/>
  <c r="O48" i="14"/>
  <c r="N33" i="15"/>
  <c r="N37" i="15"/>
  <c r="N44" i="15"/>
  <c r="N46" i="15"/>
  <c r="N50" i="15"/>
  <c r="O48" i="15"/>
  <c r="N172" i="8"/>
  <c r="N174" i="8"/>
  <c r="N33" i="16"/>
  <c r="T10" i="21"/>
  <c r="T12" i="21"/>
  <c r="U8" i="21"/>
  <c r="N21" i="20"/>
  <c r="M24" i="20"/>
  <c r="M27" i="20"/>
  <c r="M30" i="20"/>
  <c r="L34" i="12"/>
  <c r="M37" i="23"/>
  <c r="H46" i="25"/>
  <c r="B47" i="25"/>
  <c r="E46" i="25"/>
  <c r="I46" i="25"/>
  <c r="D47" i="25"/>
  <c r="G46" i="25"/>
  <c r="S23" i="18"/>
  <c r="S23" i="20"/>
  <c r="T23" i="23"/>
  <c r="V33" i="20"/>
  <c r="U37" i="20"/>
  <c r="AD16" i="20"/>
  <c r="V16" i="19"/>
  <c r="W16" i="23"/>
  <c r="V23" i="22"/>
  <c r="W23" i="22"/>
  <c r="W33" i="21"/>
  <c r="V37" i="21"/>
  <c r="M24" i="22"/>
  <c r="M27" i="22"/>
  <c r="M30" i="22"/>
  <c r="U33" i="19"/>
  <c r="T37" i="19"/>
  <c r="T18" i="22"/>
  <c r="U15" i="22"/>
  <c r="V23" i="21"/>
  <c r="K44" i="24"/>
  <c r="J45" i="24"/>
  <c r="K17" i="19"/>
  <c r="K18" i="19"/>
  <c r="K27" i="19"/>
  <c r="K30" i="19"/>
  <c r="K18" i="23"/>
  <c r="K27" i="23"/>
  <c r="K30" i="23"/>
  <c r="T33" i="22"/>
  <c r="S37" i="22"/>
  <c r="AX22" i="23"/>
  <c r="AW22" i="22"/>
  <c r="K45" i="25"/>
  <c r="J46" i="25"/>
  <c r="H44" i="24"/>
  <c r="W41" i="16"/>
  <c r="W41" i="13"/>
  <c r="B45" i="24"/>
  <c r="E44" i="24"/>
  <c r="W167" i="8"/>
  <c r="W69" i="7"/>
  <c r="H69" i="4"/>
  <c r="G44" i="24"/>
  <c r="U15" i="18"/>
  <c r="AC15" i="20"/>
  <c r="V15" i="23"/>
  <c r="U15" i="19"/>
  <c r="M24" i="18"/>
  <c r="U10" i="21"/>
  <c r="U12" i="21"/>
  <c r="V8" i="21"/>
  <c r="U10" i="22"/>
  <c r="U12" i="22"/>
  <c r="V8" i="22"/>
  <c r="N35" i="18"/>
  <c r="N35" i="21"/>
  <c r="N35" i="20"/>
  <c r="N35" i="23"/>
  <c r="N35" i="22"/>
  <c r="N35" i="19"/>
  <c r="X23" i="22"/>
  <c r="E47" i="25"/>
  <c r="I47" i="25"/>
  <c r="D48" i="25"/>
  <c r="B48" i="25"/>
  <c r="H47" i="25"/>
  <c r="G47" i="25"/>
  <c r="V15" i="18"/>
  <c r="E45" i="24"/>
  <c r="X167" i="8"/>
  <c r="X69" i="7"/>
  <c r="I69" i="4"/>
  <c r="B46" i="24"/>
  <c r="H45" i="24"/>
  <c r="X41" i="16"/>
  <c r="X41" i="13"/>
  <c r="G45" i="24"/>
  <c r="W23" i="21"/>
  <c r="X23" i="21"/>
  <c r="N21" i="22"/>
  <c r="AE16" i="20"/>
  <c r="W16" i="19"/>
  <c r="X16" i="23"/>
  <c r="W33" i="20"/>
  <c r="V37" i="20"/>
  <c r="U15" i="21"/>
  <c r="T18" i="21"/>
  <c r="N21" i="21"/>
  <c r="C51" i="24"/>
  <c r="O33" i="13"/>
  <c r="O37" i="13"/>
  <c r="O44" i="13"/>
  <c r="O46" i="13"/>
  <c r="O50" i="13"/>
  <c r="P48" i="13"/>
  <c r="O33" i="14"/>
  <c r="O37" i="14"/>
  <c r="O44" i="14"/>
  <c r="O46" i="14"/>
  <c r="O50" i="14"/>
  <c r="P48" i="14"/>
  <c r="O33" i="15"/>
  <c r="O37" i="15"/>
  <c r="O44" i="15"/>
  <c r="O46" i="15"/>
  <c r="O50" i="15"/>
  <c r="P48" i="15"/>
  <c r="O33" i="16"/>
  <c r="O172" i="8"/>
  <c r="O174" i="8"/>
  <c r="Y33" i="23"/>
  <c r="W23" i="19"/>
  <c r="X23" i="19"/>
  <c r="N24" i="20"/>
  <c r="N27" i="20"/>
  <c r="N30" i="20"/>
  <c r="N24" i="19"/>
  <c r="U10" i="18"/>
  <c r="U12" i="18"/>
  <c r="V8" i="18"/>
  <c r="AY22" i="23"/>
  <c r="AX22" i="22"/>
  <c r="V15" i="22"/>
  <c r="U18" i="22"/>
  <c r="T23" i="18"/>
  <c r="T23" i="20"/>
  <c r="U23" i="23"/>
  <c r="O78" i="7"/>
  <c r="O21" i="20"/>
  <c r="I44" i="24"/>
  <c r="D45" i="24"/>
  <c r="Q8" i="19"/>
  <c r="Q10" i="23"/>
  <c r="C51" i="25"/>
  <c r="L17" i="19"/>
  <c r="L18" i="19"/>
  <c r="L27" i="19"/>
  <c r="L30" i="19"/>
  <c r="L18" i="23"/>
  <c r="L27" i="23"/>
  <c r="L30" i="23"/>
  <c r="U33" i="22"/>
  <c r="T37" i="22"/>
  <c r="V15" i="19"/>
  <c r="AD15" i="20"/>
  <c r="W15" i="23"/>
  <c r="N21" i="18"/>
  <c r="E15" i="17"/>
  <c r="K46" i="25"/>
  <c r="J47" i="25"/>
  <c r="K45" i="24"/>
  <c r="J46" i="24"/>
  <c r="U37" i="19"/>
  <c r="V33" i="19"/>
  <c r="X33" i="21"/>
  <c r="W37" i="21"/>
  <c r="K33" i="12"/>
  <c r="K37" i="12"/>
  <c r="K44" i="12"/>
  <c r="K46" i="12"/>
  <c r="N37" i="16"/>
  <c r="N44" i="16"/>
  <c r="N46" i="16"/>
  <c r="N50" i="16"/>
  <c r="W33" i="18"/>
  <c r="V37" i="18"/>
  <c r="N21" i="23"/>
  <c r="M17" i="18"/>
  <c r="M18" i="18"/>
  <c r="M27" i="18"/>
  <c r="M30" i="18"/>
  <c r="M17" i="20"/>
  <c r="M17" i="21"/>
  <c r="M17" i="22"/>
  <c r="M17" i="23"/>
  <c r="N48" i="16"/>
  <c r="P10" i="19"/>
  <c r="P12" i="19"/>
  <c r="P34" i="13"/>
  <c r="P34" i="16"/>
  <c r="M34" i="12"/>
  <c r="P34" i="14"/>
  <c r="P34" i="15"/>
  <c r="P166" i="8"/>
  <c r="O24" i="20"/>
  <c r="O27" i="20"/>
  <c r="O30" i="20"/>
  <c r="V12" i="22"/>
  <c r="W8" i="22"/>
  <c r="V10" i="22"/>
  <c r="V10" i="21"/>
  <c r="V12" i="21"/>
  <c r="W8" i="21"/>
  <c r="K47" i="25"/>
  <c r="J48" i="25"/>
  <c r="O80" i="7"/>
  <c r="O35" i="21"/>
  <c r="AY22" i="22"/>
  <c r="AZ22" i="23"/>
  <c r="L33" i="12"/>
  <c r="L37" i="12"/>
  <c r="L44" i="12"/>
  <c r="L46" i="12"/>
  <c r="L50" i="12"/>
  <c r="M48" i="12"/>
  <c r="O37" i="16"/>
  <c r="O44" i="16"/>
  <c r="O46" i="16"/>
  <c r="V15" i="21"/>
  <c r="U18" i="21"/>
  <c r="O35" i="19"/>
  <c r="K50" i="12"/>
  <c r="L48" i="12"/>
  <c r="Q10" i="19"/>
  <c r="D10" i="17"/>
  <c r="Q34" i="15"/>
  <c r="Q34" i="16"/>
  <c r="Q166" i="8"/>
  <c r="Q34" i="14"/>
  <c r="Q34" i="13"/>
  <c r="Q12" i="23"/>
  <c r="R8" i="23"/>
  <c r="X33" i="18"/>
  <c r="W37" i="18"/>
  <c r="X37" i="21"/>
  <c r="Y33" i="21"/>
  <c r="K46" i="24"/>
  <c r="J47" i="24"/>
  <c r="W15" i="19"/>
  <c r="AE15" i="20"/>
  <c r="X15" i="23"/>
  <c r="V33" i="22"/>
  <c r="U37" i="22"/>
  <c r="C52" i="25"/>
  <c r="Q12" i="19"/>
  <c r="D8" i="17"/>
  <c r="D12" i="17"/>
  <c r="V10" i="18"/>
  <c r="V12" i="18"/>
  <c r="W8" i="18"/>
  <c r="O21" i="19"/>
  <c r="C52" i="24"/>
  <c r="W15" i="18"/>
  <c r="E48" i="25"/>
  <c r="I48" i="25"/>
  <c r="D49" i="25"/>
  <c r="H48" i="25"/>
  <c r="B49" i="25"/>
  <c r="G48" i="25"/>
  <c r="M68" i="3"/>
  <c r="M72" i="3"/>
  <c r="M74" i="3"/>
  <c r="M76" i="3"/>
  <c r="P68" i="7"/>
  <c r="P72" i="7"/>
  <c r="P74" i="7"/>
  <c r="P76" i="7"/>
  <c r="P170" i="8"/>
  <c r="O21" i="23"/>
  <c r="N24" i="23"/>
  <c r="O21" i="18"/>
  <c r="N24" i="18"/>
  <c r="X16" i="19"/>
  <c r="AF16" i="20"/>
  <c r="Y16" i="23"/>
  <c r="M17" i="19"/>
  <c r="M18" i="19"/>
  <c r="M27" i="19"/>
  <c r="M30" i="19"/>
  <c r="M18" i="23"/>
  <c r="M27" i="23"/>
  <c r="M30" i="23"/>
  <c r="N17" i="21"/>
  <c r="N17" i="22"/>
  <c r="N17" i="20"/>
  <c r="N17" i="23"/>
  <c r="O48" i="16"/>
  <c r="N17" i="18"/>
  <c r="N18" i="18"/>
  <c r="N27" i="18"/>
  <c r="N30" i="18"/>
  <c r="W33" i="19"/>
  <c r="V37" i="19"/>
  <c r="I45" i="24"/>
  <c r="D46" i="24"/>
  <c r="U23" i="18"/>
  <c r="U23" i="20"/>
  <c r="V23" i="23"/>
  <c r="W15" i="22"/>
  <c r="V18" i="22"/>
  <c r="Z33" i="23"/>
  <c r="O21" i="21"/>
  <c r="N24" i="21"/>
  <c r="N27" i="21"/>
  <c r="N30" i="21"/>
  <c r="X33" i="20"/>
  <c r="W37" i="20"/>
  <c r="O21" i="22"/>
  <c r="N24" i="22"/>
  <c r="N27" i="22"/>
  <c r="N30" i="22"/>
  <c r="E46" i="24"/>
  <c r="Y167" i="8"/>
  <c r="Y69" i="7"/>
  <c r="J69" i="4"/>
  <c r="B47" i="24"/>
  <c r="H46" i="24"/>
  <c r="Y41" i="16"/>
  <c r="Y41" i="13"/>
  <c r="G46" i="24"/>
  <c r="O35" i="23"/>
  <c r="N37" i="23"/>
  <c r="W10" i="21"/>
  <c r="W12" i="21"/>
  <c r="X8" i="21"/>
  <c r="I49" i="25"/>
  <c r="D50" i="25"/>
  <c r="W10" i="18"/>
  <c r="W12" i="18"/>
  <c r="X8" i="18"/>
  <c r="O37" i="23"/>
  <c r="X37" i="20"/>
  <c r="Y33" i="20"/>
  <c r="H49" i="25"/>
  <c r="B50" i="25"/>
  <c r="E49" i="25"/>
  <c r="G49" i="25"/>
  <c r="R8" i="19"/>
  <c r="R8" i="20"/>
  <c r="R10" i="23"/>
  <c r="X33" i="19"/>
  <c r="W37" i="19"/>
  <c r="O24" i="23"/>
  <c r="P21" i="23"/>
  <c r="O35" i="18"/>
  <c r="C53" i="25"/>
  <c r="O35" i="20"/>
  <c r="N34" i="12"/>
  <c r="Y23" i="19"/>
  <c r="Z23" i="19"/>
  <c r="Y23" i="22"/>
  <c r="N17" i="19"/>
  <c r="N18" i="19"/>
  <c r="N27" i="19"/>
  <c r="N30" i="19"/>
  <c r="N18" i="23"/>
  <c r="N27" i="23"/>
  <c r="N30" i="23"/>
  <c r="W10" i="22"/>
  <c r="W12" i="22"/>
  <c r="X8" i="22"/>
  <c r="O24" i="21"/>
  <c r="O27" i="21"/>
  <c r="O30" i="21"/>
  <c r="I46" i="24"/>
  <c r="D47" i="24"/>
  <c r="Y16" i="19"/>
  <c r="Z16" i="23"/>
  <c r="AG16" i="20"/>
  <c r="P33" i="13"/>
  <c r="P37" i="13"/>
  <c r="P44" i="13"/>
  <c r="P46" i="13"/>
  <c r="P50" i="13"/>
  <c r="Q48" i="13"/>
  <c r="P33" i="15"/>
  <c r="P37" i="15"/>
  <c r="P44" i="15"/>
  <c r="P46" i="15"/>
  <c r="P50" i="15"/>
  <c r="Q48" i="15"/>
  <c r="P33" i="16"/>
  <c r="P33" i="14"/>
  <c r="P37" i="14"/>
  <c r="P44" i="14"/>
  <c r="P46" i="14"/>
  <c r="P50" i="14"/>
  <c r="Q48" i="14"/>
  <c r="P172" i="8"/>
  <c r="P174" i="8"/>
  <c r="O35" i="22"/>
  <c r="C53" i="24"/>
  <c r="X15" i="19"/>
  <c r="Y15" i="23"/>
  <c r="AF15" i="20"/>
  <c r="K47" i="24"/>
  <c r="J48" i="24"/>
  <c r="W15" i="21"/>
  <c r="V18" i="21"/>
  <c r="AZ22" i="22"/>
  <c r="BA22" i="23"/>
  <c r="BA22" i="22"/>
  <c r="G22" i="17"/>
  <c r="Y23" i="21"/>
  <c r="X15" i="18"/>
  <c r="V37" i="22"/>
  <c r="W33" i="22"/>
  <c r="Y37" i="21"/>
  <c r="Z33" i="21"/>
  <c r="N68" i="3"/>
  <c r="Q170" i="8"/>
  <c r="Q68" i="7"/>
  <c r="Q72" i="7"/>
  <c r="Q74" i="7"/>
  <c r="Q76" i="7"/>
  <c r="O24" i="22"/>
  <c r="O27" i="22"/>
  <c r="O30" i="22"/>
  <c r="X15" i="22"/>
  <c r="W18" i="22"/>
  <c r="H47" i="24"/>
  <c r="Z41" i="16"/>
  <c r="Z41" i="13"/>
  <c r="B48" i="24"/>
  <c r="E47" i="24"/>
  <c r="Z167" i="8"/>
  <c r="Z69" i="7"/>
  <c r="K69" i="4"/>
  <c r="G47" i="24"/>
  <c r="AA33" i="23"/>
  <c r="V23" i="18"/>
  <c r="V23" i="20"/>
  <c r="W23" i="23"/>
  <c r="O24" i="18"/>
  <c r="P78" i="7"/>
  <c r="P21" i="20"/>
  <c r="O24" i="19"/>
  <c r="X37" i="18"/>
  <c r="Y33" i="18"/>
  <c r="O50" i="16"/>
  <c r="K48" i="25"/>
  <c r="J49" i="25"/>
  <c r="X10" i="22"/>
  <c r="X12" i="22"/>
  <c r="Y8" i="22"/>
  <c r="X10" i="18"/>
  <c r="X12" i="18"/>
  <c r="Y8" i="18"/>
  <c r="X10" i="21"/>
  <c r="X12" i="21"/>
  <c r="Y8" i="21"/>
  <c r="Q78" i="7"/>
  <c r="Q80" i="7"/>
  <c r="I47" i="24"/>
  <c r="D48" i="24"/>
  <c r="Q21" i="23"/>
  <c r="P24" i="23"/>
  <c r="H50" i="25"/>
  <c r="B51" i="25"/>
  <c r="E50" i="25"/>
  <c r="I50" i="25"/>
  <c r="D51" i="25"/>
  <c r="G50" i="25"/>
  <c r="K49" i="25"/>
  <c r="J50" i="25"/>
  <c r="Z33" i="18"/>
  <c r="Y37" i="18"/>
  <c r="P21" i="19"/>
  <c r="P21" i="18"/>
  <c r="AB33" i="23"/>
  <c r="H48" i="24"/>
  <c r="AA41" i="16"/>
  <c r="AA41" i="13"/>
  <c r="B49" i="24"/>
  <c r="E48" i="24"/>
  <c r="AA167" i="8"/>
  <c r="AA69" i="7"/>
  <c r="L69" i="4"/>
  <c r="Q33" i="13"/>
  <c r="Q37" i="13"/>
  <c r="Q44" i="13"/>
  <c r="Q46" i="13"/>
  <c r="Q50" i="13"/>
  <c r="Q33" i="14"/>
  <c r="Q37" i="14"/>
  <c r="Q44" i="14"/>
  <c r="Q46" i="14"/>
  <c r="Q50" i="14"/>
  <c r="R48" i="14"/>
  <c r="Q33" i="16"/>
  <c r="Q33" i="15"/>
  <c r="Q37" i="15"/>
  <c r="Q44" i="15"/>
  <c r="Q46" i="15"/>
  <c r="Q50" i="15"/>
  <c r="R48" i="15"/>
  <c r="Q172" i="8"/>
  <c r="Q174" i="8"/>
  <c r="X33" i="22"/>
  <c r="W37" i="22"/>
  <c r="Z23" i="21"/>
  <c r="AA23" i="21"/>
  <c r="X15" i="21"/>
  <c r="W18" i="21"/>
  <c r="C54" i="24"/>
  <c r="P21" i="21"/>
  <c r="R10" i="20"/>
  <c r="R12" i="20"/>
  <c r="R34" i="14"/>
  <c r="R34" i="15"/>
  <c r="R34" i="16"/>
  <c r="R166" i="8"/>
  <c r="Y15" i="22"/>
  <c r="X18" i="22"/>
  <c r="W23" i="18"/>
  <c r="W23" i="20"/>
  <c r="X23" i="23"/>
  <c r="N72" i="3"/>
  <c r="N74" i="3"/>
  <c r="N76" i="3"/>
  <c r="P68" i="3"/>
  <c r="M33" i="12"/>
  <c r="M37" i="12"/>
  <c r="M44" i="12"/>
  <c r="M46" i="12"/>
  <c r="M50" i="12"/>
  <c r="N48" i="12"/>
  <c r="P37" i="16"/>
  <c r="P44" i="16"/>
  <c r="P46" i="16"/>
  <c r="AH16" i="20"/>
  <c r="AA16" i="23"/>
  <c r="Z16" i="19"/>
  <c r="C54" i="25"/>
  <c r="R12" i="23"/>
  <c r="S8" i="23"/>
  <c r="Z33" i="20"/>
  <c r="Y37" i="20"/>
  <c r="AA23" i="19"/>
  <c r="R10" i="19"/>
  <c r="R12" i="19"/>
  <c r="Q21" i="20"/>
  <c r="Q24" i="20"/>
  <c r="Q27" i="20"/>
  <c r="Q30" i="20"/>
  <c r="P24" i="20"/>
  <c r="P27" i="20"/>
  <c r="P30" i="20"/>
  <c r="P21" i="22"/>
  <c r="O17" i="18"/>
  <c r="O18" i="18"/>
  <c r="O27" i="18"/>
  <c r="O30" i="18"/>
  <c r="O17" i="20"/>
  <c r="O17" i="21"/>
  <c r="O17" i="23"/>
  <c r="O17" i="22"/>
  <c r="P48" i="16"/>
  <c r="P80" i="7"/>
  <c r="P35" i="20"/>
  <c r="Q35" i="20"/>
  <c r="AA33" i="21"/>
  <c r="Z37" i="21"/>
  <c r="Y15" i="18"/>
  <c r="K48" i="24"/>
  <c r="J49" i="24"/>
  <c r="AG15" i="20"/>
  <c r="Y15" i="19"/>
  <c r="Z15" i="23"/>
  <c r="P35" i="22"/>
  <c r="Q35" i="22"/>
  <c r="Z23" i="22"/>
  <c r="AA23" i="22"/>
  <c r="P34" i="12"/>
  <c r="P35" i="18"/>
  <c r="Q35" i="18"/>
  <c r="X37" i="19"/>
  <c r="Y33" i="19"/>
  <c r="Y10" i="21"/>
  <c r="Y12" i="21"/>
  <c r="Z8" i="21"/>
  <c r="AA16" i="19"/>
  <c r="AI16" i="20"/>
  <c r="AB16" i="23"/>
  <c r="C68" i="4"/>
  <c r="R170" i="8"/>
  <c r="R68" i="7"/>
  <c r="R72" i="7"/>
  <c r="R74" i="7"/>
  <c r="R76" i="7"/>
  <c r="N33" i="12"/>
  <c r="Q37" i="16"/>
  <c r="Q44" i="16"/>
  <c r="Q46" i="16"/>
  <c r="AA33" i="18"/>
  <c r="Z37" i="18"/>
  <c r="R34" i="13"/>
  <c r="Q21" i="21"/>
  <c r="P24" i="21"/>
  <c r="P27" i="21"/>
  <c r="P30" i="21"/>
  <c r="Y33" i="22"/>
  <c r="X37" i="22"/>
  <c r="E49" i="24"/>
  <c r="AB167" i="8"/>
  <c r="AB69" i="7"/>
  <c r="M69" i="4"/>
  <c r="H49" i="24"/>
  <c r="AB41" i="16"/>
  <c r="AB41" i="13"/>
  <c r="B50" i="24"/>
  <c r="G49" i="24"/>
  <c r="P24" i="18"/>
  <c r="Q21" i="18"/>
  <c r="K50" i="25"/>
  <c r="J51" i="25"/>
  <c r="Q24" i="23"/>
  <c r="P35" i="19"/>
  <c r="Q35" i="19"/>
  <c r="P35" i="21"/>
  <c r="Q35" i="21"/>
  <c r="P35" i="23"/>
  <c r="D68" i="1"/>
  <c r="P72" i="3"/>
  <c r="P74" i="3"/>
  <c r="P76" i="3"/>
  <c r="AH15" i="20"/>
  <c r="Z15" i="19"/>
  <c r="AA15" i="23"/>
  <c r="AB33" i="21"/>
  <c r="AA37" i="21"/>
  <c r="C55" i="25"/>
  <c r="P50" i="16"/>
  <c r="X23" i="18"/>
  <c r="X23" i="20"/>
  <c r="Y23" i="23"/>
  <c r="C55" i="24"/>
  <c r="Y15" i="21"/>
  <c r="X18" i="21"/>
  <c r="P24" i="19"/>
  <c r="Q21" i="19"/>
  <c r="E51" i="25"/>
  <c r="I51" i="25"/>
  <c r="D52" i="25"/>
  <c r="H51" i="25"/>
  <c r="B52" i="25"/>
  <c r="G51" i="25"/>
  <c r="I48" i="24"/>
  <c r="D49" i="24"/>
  <c r="Y12" i="22"/>
  <c r="Z8" i="22"/>
  <c r="Y10" i="22"/>
  <c r="S8" i="20"/>
  <c r="S8" i="19"/>
  <c r="S10" i="23"/>
  <c r="AC33" i="23"/>
  <c r="Y10" i="18"/>
  <c r="Y12" i="18"/>
  <c r="Z8" i="18"/>
  <c r="K49" i="24"/>
  <c r="J50" i="24"/>
  <c r="Y37" i="19"/>
  <c r="Z33" i="19"/>
  <c r="Z15" i="18"/>
  <c r="O17" i="19"/>
  <c r="O18" i="19"/>
  <c r="O27" i="19"/>
  <c r="O30" i="19"/>
  <c r="O18" i="23"/>
  <c r="O27" i="23"/>
  <c r="O30" i="23"/>
  <c r="Q21" i="22"/>
  <c r="P24" i="22"/>
  <c r="P27" i="22"/>
  <c r="P30" i="22"/>
  <c r="AA33" i="20"/>
  <c r="Z37" i="20"/>
  <c r="Z15" i="22"/>
  <c r="Y18" i="22"/>
  <c r="G48" i="24"/>
  <c r="Z10" i="21"/>
  <c r="Z12" i="21"/>
  <c r="AA8" i="21"/>
  <c r="J51" i="24"/>
  <c r="K50" i="24"/>
  <c r="S10" i="19"/>
  <c r="S12" i="19"/>
  <c r="AB23" i="21"/>
  <c r="AD33" i="23"/>
  <c r="I49" i="24"/>
  <c r="D50" i="24"/>
  <c r="Z15" i="21"/>
  <c r="Y18" i="21"/>
  <c r="Y23" i="18"/>
  <c r="Y23" i="20"/>
  <c r="Z23" i="23"/>
  <c r="C56" i="25"/>
  <c r="R78" i="7"/>
  <c r="R21" i="23"/>
  <c r="R80" i="7"/>
  <c r="P17" i="20"/>
  <c r="P17" i="21"/>
  <c r="P17" i="18"/>
  <c r="P18" i="18"/>
  <c r="P27" i="18"/>
  <c r="P30" i="18"/>
  <c r="P17" i="22"/>
  <c r="P17" i="23"/>
  <c r="Q48" i="16"/>
  <c r="AB37" i="21"/>
  <c r="AC33" i="21"/>
  <c r="Q24" i="18"/>
  <c r="AB16" i="19"/>
  <c r="AJ16" i="20"/>
  <c r="AC16" i="23"/>
  <c r="AA37" i="20"/>
  <c r="AB33" i="20"/>
  <c r="AB23" i="22"/>
  <c r="Z10" i="18"/>
  <c r="Z12" i="18"/>
  <c r="AA8" i="18"/>
  <c r="Q24" i="19"/>
  <c r="D21" i="17"/>
  <c r="D24" i="17"/>
  <c r="AA15" i="19"/>
  <c r="AI15" i="20"/>
  <c r="AB15" i="23"/>
  <c r="D72" i="1"/>
  <c r="D74" i="1"/>
  <c r="D76" i="1"/>
  <c r="D35" i="17"/>
  <c r="D37" i="17"/>
  <c r="K51" i="25"/>
  <c r="J52" i="25"/>
  <c r="Q24" i="21"/>
  <c r="Q27" i="21"/>
  <c r="Q30" i="21"/>
  <c r="AB33" i="18"/>
  <c r="AA37" i="18"/>
  <c r="R33" i="14"/>
  <c r="R37" i="14"/>
  <c r="R44" i="14"/>
  <c r="R46" i="14"/>
  <c r="R50" i="14"/>
  <c r="S48" i="14"/>
  <c r="R33" i="15"/>
  <c r="R37" i="15"/>
  <c r="R44" i="15"/>
  <c r="R46" i="15"/>
  <c r="R50" i="15"/>
  <c r="S48" i="15"/>
  <c r="R33" i="16"/>
  <c r="R172" i="8"/>
  <c r="R174" i="8"/>
  <c r="Z10" i="22"/>
  <c r="Z12" i="22"/>
  <c r="AA8" i="22"/>
  <c r="Q35" i="23"/>
  <c r="P37" i="23"/>
  <c r="P33" i="12"/>
  <c r="P37" i="12"/>
  <c r="P44" i="12"/>
  <c r="N37" i="12"/>
  <c r="N44" i="12"/>
  <c r="N46" i="12"/>
  <c r="AA33" i="19"/>
  <c r="Z37" i="19"/>
  <c r="S10" i="20"/>
  <c r="S12" i="20"/>
  <c r="S34" i="14"/>
  <c r="S34" i="15"/>
  <c r="S166" i="8"/>
  <c r="S34" i="16"/>
  <c r="S34" i="13"/>
  <c r="AA15" i="22"/>
  <c r="Z18" i="22"/>
  <c r="R21" i="22"/>
  <c r="Q24" i="22"/>
  <c r="Q27" i="22"/>
  <c r="Q30" i="22"/>
  <c r="AA15" i="18"/>
  <c r="S12" i="23"/>
  <c r="T8" i="23"/>
  <c r="E52" i="25"/>
  <c r="I52" i="25"/>
  <c r="D53" i="25"/>
  <c r="B53" i="25"/>
  <c r="H52" i="25"/>
  <c r="G52" i="25"/>
  <c r="C56" i="24"/>
  <c r="AB23" i="19"/>
  <c r="E50" i="24"/>
  <c r="AC167" i="8"/>
  <c r="AC69" i="7"/>
  <c r="N69" i="4"/>
  <c r="P69" i="4"/>
  <c r="E69" i="1"/>
  <c r="H50" i="24"/>
  <c r="AC41" i="16"/>
  <c r="AC41" i="13"/>
  <c r="BA41" i="13"/>
  <c r="B51" i="24"/>
  <c r="Y37" i="22"/>
  <c r="Z33" i="22"/>
  <c r="Q50" i="16"/>
  <c r="C72" i="4"/>
  <c r="C74" i="4"/>
  <c r="C76" i="4"/>
  <c r="AA10" i="18"/>
  <c r="AA12" i="18"/>
  <c r="AB8" i="18"/>
  <c r="I53" i="25"/>
  <c r="D54" i="25"/>
  <c r="AA10" i="22"/>
  <c r="AA12" i="22"/>
  <c r="AB8" i="22"/>
  <c r="AC37" i="21"/>
  <c r="AD33" i="21"/>
  <c r="K51" i="24"/>
  <c r="J52" i="24"/>
  <c r="Z37" i="22"/>
  <c r="AA33" i="22"/>
  <c r="AA18" i="22"/>
  <c r="AB15" i="22"/>
  <c r="R21" i="20"/>
  <c r="R24" i="23"/>
  <c r="Z23" i="18"/>
  <c r="Z23" i="20"/>
  <c r="AA23" i="23"/>
  <c r="Z18" i="21"/>
  <c r="AA15" i="21"/>
  <c r="AA10" i="21"/>
  <c r="AA12" i="21"/>
  <c r="AB8" i="21"/>
  <c r="H51" i="24"/>
  <c r="AD41" i="16"/>
  <c r="B52" i="24"/>
  <c r="E51" i="24"/>
  <c r="AD167" i="8"/>
  <c r="AD69" i="7"/>
  <c r="C69" i="5"/>
  <c r="G51" i="24"/>
  <c r="D80" i="1"/>
  <c r="D78" i="1"/>
  <c r="AB37" i="20"/>
  <c r="AC33" i="20"/>
  <c r="R35" i="20"/>
  <c r="R35" i="18"/>
  <c r="R35" i="22"/>
  <c r="H53" i="25"/>
  <c r="B54" i="25"/>
  <c r="E53" i="25"/>
  <c r="G53" i="25"/>
  <c r="N50" i="12"/>
  <c r="P46" i="12"/>
  <c r="P50" i="12"/>
  <c r="R48" i="13"/>
  <c r="BA48" i="13"/>
  <c r="C57" i="24"/>
  <c r="R21" i="21"/>
  <c r="R35" i="19"/>
  <c r="AB15" i="19"/>
  <c r="AJ15" i="20"/>
  <c r="AC15" i="23"/>
  <c r="AC16" i="19"/>
  <c r="AK16" i="20"/>
  <c r="AD16" i="23"/>
  <c r="R21" i="18"/>
  <c r="R35" i="21"/>
  <c r="I50" i="24"/>
  <c r="D51" i="24"/>
  <c r="AC23" i="21"/>
  <c r="Q17" i="18"/>
  <c r="Q18" i="18"/>
  <c r="Q27" i="18"/>
  <c r="Q30" i="18"/>
  <c r="Q17" i="20"/>
  <c r="Q17" i="22"/>
  <c r="Q17" i="23"/>
  <c r="Q17" i="21"/>
  <c r="R48" i="16"/>
  <c r="AB33" i="19"/>
  <c r="AA37" i="19"/>
  <c r="R35" i="23"/>
  <c r="Q37" i="23"/>
  <c r="R33" i="13"/>
  <c r="R37" i="16"/>
  <c r="R44" i="16"/>
  <c r="R46" i="16"/>
  <c r="AC33" i="18"/>
  <c r="AB37" i="18"/>
  <c r="AE33" i="23"/>
  <c r="AB15" i="18"/>
  <c r="AC23" i="19"/>
  <c r="AD23" i="19"/>
  <c r="T8" i="20"/>
  <c r="T8" i="19"/>
  <c r="T10" i="23"/>
  <c r="T12" i="23"/>
  <c r="U8" i="23"/>
  <c r="R24" i="22"/>
  <c r="R27" i="22"/>
  <c r="R30" i="22"/>
  <c r="S68" i="7"/>
  <c r="S72" i="7"/>
  <c r="S74" i="7"/>
  <c r="S76" i="7"/>
  <c r="D68" i="4"/>
  <c r="S170" i="8"/>
  <c r="J53" i="25"/>
  <c r="K52" i="25"/>
  <c r="R21" i="19"/>
  <c r="AC23" i="22"/>
  <c r="AD23" i="22"/>
  <c r="P17" i="19"/>
  <c r="P18" i="19"/>
  <c r="P27" i="19"/>
  <c r="P30" i="19"/>
  <c r="P18" i="23"/>
  <c r="P27" i="23"/>
  <c r="P30" i="23"/>
  <c r="C57" i="25"/>
  <c r="U8" i="19"/>
  <c r="U8" i="20"/>
  <c r="U10" i="23"/>
  <c r="U12" i="23"/>
  <c r="V8" i="23"/>
  <c r="AB10" i="21"/>
  <c r="AB12" i="21"/>
  <c r="AC8" i="21"/>
  <c r="R24" i="19"/>
  <c r="AF33" i="23"/>
  <c r="R37" i="23"/>
  <c r="R24" i="20"/>
  <c r="S21" i="20"/>
  <c r="AE33" i="21"/>
  <c r="AD37" i="21"/>
  <c r="D72" i="4"/>
  <c r="D74" i="4"/>
  <c r="D76" i="4"/>
  <c r="R50" i="16"/>
  <c r="S21" i="18"/>
  <c r="R24" i="18"/>
  <c r="AK15" i="20"/>
  <c r="AC15" i="19"/>
  <c r="AD15" i="23"/>
  <c r="D62" i="13"/>
  <c r="D62" i="16"/>
  <c r="D62" i="15"/>
  <c r="D62" i="14"/>
  <c r="H52" i="24"/>
  <c r="AE41" i="16"/>
  <c r="AE23" i="19"/>
  <c r="B53" i="24"/>
  <c r="E52" i="24"/>
  <c r="AE167" i="8"/>
  <c r="AE69" i="7"/>
  <c r="D69" i="5"/>
  <c r="G52" i="24"/>
  <c r="AB15" i="21"/>
  <c r="AA18" i="21"/>
  <c r="AB18" i="22"/>
  <c r="AC15" i="22"/>
  <c r="K52" i="24"/>
  <c r="J53" i="24"/>
  <c r="S33" i="14"/>
  <c r="S37" i="14"/>
  <c r="S44" i="14"/>
  <c r="S46" i="14"/>
  <c r="S50" i="14"/>
  <c r="T48" i="14"/>
  <c r="S33" i="15"/>
  <c r="S37" i="15"/>
  <c r="S44" i="15"/>
  <c r="S46" i="15"/>
  <c r="S50" i="15"/>
  <c r="T48" i="15"/>
  <c r="S33" i="16"/>
  <c r="S172" i="8"/>
  <c r="S174" i="8"/>
  <c r="S80" i="7"/>
  <c r="S35" i="19"/>
  <c r="S78" i="7"/>
  <c r="S21" i="19"/>
  <c r="R37" i="13"/>
  <c r="R44" i="13"/>
  <c r="R46" i="13"/>
  <c r="R50" i="13"/>
  <c r="S48" i="13"/>
  <c r="AC33" i="19"/>
  <c r="AB37" i="19"/>
  <c r="Q17" i="19"/>
  <c r="Q18" i="23"/>
  <c r="Q27" i="23"/>
  <c r="Q30" i="23"/>
  <c r="AL16" i="20"/>
  <c r="AD16" i="19"/>
  <c r="AD16" i="21"/>
  <c r="AE16" i="23"/>
  <c r="S21" i="21"/>
  <c r="R24" i="21"/>
  <c r="R27" i="21"/>
  <c r="R30" i="21"/>
  <c r="H54" i="25"/>
  <c r="B55" i="25"/>
  <c r="E54" i="25"/>
  <c r="I54" i="25"/>
  <c r="D55" i="25"/>
  <c r="G54" i="25"/>
  <c r="AD41" i="14"/>
  <c r="AD41" i="13"/>
  <c r="AB10" i="22"/>
  <c r="AB12" i="22"/>
  <c r="AC8" i="22"/>
  <c r="AB10" i="18"/>
  <c r="AB12" i="18"/>
  <c r="AC8" i="18"/>
  <c r="C58" i="25"/>
  <c r="AD33" i="18"/>
  <c r="AC37" i="18"/>
  <c r="S35" i="21"/>
  <c r="T10" i="20"/>
  <c r="T12" i="20"/>
  <c r="T34" i="16"/>
  <c r="T34" i="13"/>
  <c r="T34" i="15"/>
  <c r="T34" i="14"/>
  <c r="T166" i="8"/>
  <c r="AE23" i="22"/>
  <c r="K53" i="25"/>
  <c r="J54" i="25"/>
  <c r="T12" i="19"/>
  <c r="T10" i="19"/>
  <c r="AC15" i="18"/>
  <c r="I51" i="24"/>
  <c r="D52" i="24"/>
  <c r="I52" i="24"/>
  <c r="D53" i="24"/>
  <c r="C58" i="24"/>
  <c r="AD33" i="20"/>
  <c r="AC37" i="20"/>
  <c r="AA23" i="18"/>
  <c r="AA23" i="20"/>
  <c r="AB23" i="23"/>
  <c r="AB33" i="22"/>
  <c r="AA37" i="22"/>
  <c r="AC10" i="21"/>
  <c r="AC12" i="21"/>
  <c r="V8" i="19"/>
  <c r="V8" i="20"/>
  <c r="V10" i="23"/>
  <c r="I55" i="25"/>
  <c r="D56" i="25"/>
  <c r="AC10" i="18"/>
  <c r="AC12" i="18"/>
  <c r="AD8" i="18"/>
  <c r="S24" i="19"/>
  <c r="AD15" i="18"/>
  <c r="S24" i="21"/>
  <c r="S27" i="21"/>
  <c r="S30" i="21"/>
  <c r="AC37" i="19"/>
  <c r="AD33" i="19"/>
  <c r="AD15" i="22"/>
  <c r="AC18" i="22"/>
  <c r="S24" i="18"/>
  <c r="G62" i="14"/>
  <c r="F63" i="14"/>
  <c r="I62" i="14"/>
  <c r="AA40" i="14"/>
  <c r="E63" i="14"/>
  <c r="J62" i="14"/>
  <c r="C63" i="14"/>
  <c r="S35" i="18"/>
  <c r="R17" i="18"/>
  <c r="R18" i="18"/>
  <c r="R27" i="18"/>
  <c r="R30" i="18"/>
  <c r="R17" i="23"/>
  <c r="R17" i="21"/>
  <c r="R17" i="22"/>
  <c r="S48" i="16"/>
  <c r="S35" i="23"/>
  <c r="G62" i="13"/>
  <c r="L62" i="13"/>
  <c r="F63" i="13"/>
  <c r="AE40" i="13"/>
  <c r="E63" i="13"/>
  <c r="I62" i="13"/>
  <c r="J62" i="13"/>
  <c r="C63" i="13"/>
  <c r="AD15" i="19"/>
  <c r="AL15" i="20"/>
  <c r="AD15" i="21"/>
  <c r="AE15" i="23"/>
  <c r="S24" i="20"/>
  <c r="U10" i="20"/>
  <c r="U12" i="20"/>
  <c r="U34" i="14"/>
  <c r="U34" i="16"/>
  <c r="U34" i="13"/>
  <c r="U166" i="8"/>
  <c r="U34" i="15"/>
  <c r="AM16" i="20"/>
  <c r="AE16" i="21"/>
  <c r="AF16" i="23"/>
  <c r="AE16" i="19"/>
  <c r="S35" i="22"/>
  <c r="AC33" i="22"/>
  <c r="AB37" i="22"/>
  <c r="AE33" i="18"/>
  <c r="AD37" i="18"/>
  <c r="S35" i="20"/>
  <c r="D17" i="17"/>
  <c r="D18" i="17"/>
  <c r="D27" i="17"/>
  <c r="D30" i="17"/>
  <c r="Q18" i="19"/>
  <c r="Q27" i="19"/>
  <c r="Q30" i="19"/>
  <c r="K53" i="24"/>
  <c r="J54" i="24"/>
  <c r="E53" i="24"/>
  <c r="AF167" i="8"/>
  <c r="AF69" i="7"/>
  <c r="E69" i="5"/>
  <c r="B54" i="24"/>
  <c r="H53" i="24"/>
  <c r="AF41" i="16"/>
  <c r="AF23" i="19"/>
  <c r="G53" i="24"/>
  <c r="G62" i="15"/>
  <c r="F63" i="15"/>
  <c r="AG40" i="15"/>
  <c r="E63" i="15"/>
  <c r="I62" i="15"/>
  <c r="AA40" i="15"/>
  <c r="J62" i="15"/>
  <c r="C63" i="15"/>
  <c r="C59" i="24"/>
  <c r="K54" i="25"/>
  <c r="J55" i="25"/>
  <c r="AC10" i="22"/>
  <c r="AC12" i="22"/>
  <c r="AD8" i="22"/>
  <c r="C59" i="25"/>
  <c r="E55" i="25"/>
  <c r="B56" i="25"/>
  <c r="H55" i="25"/>
  <c r="G55" i="25"/>
  <c r="AB23" i="20"/>
  <c r="AB23" i="18"/>
  <c r="AC23" i="23"/>
  <c r="AE33" i="20"/>
  <c r="AD37" i="20"/>
  <c r="I53" i="24"/>
  <c r="D54" i="24"/>
  <c r="T68" i="7"/>
  <c r="T72" i="7"/>
  <c r="T74" i="7"/>
  <c r="T76" i="7"/>
  <c r="E68" i="4"/>
  <c r="T170" i="8"/>
  <c r="S21" i="23"/>
  <c r="S21" i="22"/>
  <c r="S33" i="13"/>
  <c r="S37" i="16"/>
  <c r="S44" i="16"/>
  <c r="S46" i="16"/>
  <c r="S50" i="16"/>
  <c r="AC15" i="21"/>
  <c r="AC18" i="21"/>
  <c r="AB18" i="21"/>
  <c r="AE41" i="14"/>
  <c r="AE41" i="13"/>
  <c r="G62" i="16"/>
  <c r="F63" i="16"/>
  <c r="AG40" i="16"/>
  <c r="AG40" i="14"/>
  <c r="E63" i="16"/>
  <c r="I62" i="16"/>
  <c r="AA40" i="16"/>
  <c r="AA40" i="13"/>
  <c r="J62" i="16"/>
  <c r="C63" i="16"/>
  <c r="AF33" i="21"/>
  <c r="AE37" i="21"/>
  <c r="AG33" i="23"/>
  <c r="U10" i="19"/>
  <c r="U12" i="19"/>
  <c r="AD10" i="18"/>
  <c r="AD12" i="18"/>
  <c r="AE8" i="18"/>
  <c r="AD10" i="22"/>
  <c r="AD12" i="22"/>
  <c r="AE8" i="22"/>
  <c r="S24" i="23"/>
  <c r="E56" i="25"/>
  <c r="H56" i="25"/>
  <c r="I56" i="25"/>
  <c r="D57" i="25"/>
  <c r="B57" i="25"/>
  <c r="G56" i="25"/>
  <c r="V12" i="19"/>
  <c r="V10" i="19"/>
  <c r="AH33" i="23"/>
  <c r="S17" i="18"/>
  <c r="S18" i="18"/>
  <c r="S27" i="18"/>
  <c r="S30" i="18"/>
  <c r="S17" i="21"/>
  <c r="S17" i="22"/>
  <c r="T48" i="16"/>
  <c r="S17" i="23"/>
  <c r="T33" i="14"/>
  <c r="T37" i="14"/>
  <c r="T44" i="14"/>
  <c r="T46" i="14"/>
  <c r="T50" i="14"/>
  <c r="U48" i="14"/>
  <c r="T33" i="16"/>
  <c r="T33" i="15"/>
  <c r="T37" i="15"/>
  <c r="T44" i="15"/>
  <c r="T46" i="15"/>
  <c r="T50" i="15"/>
  <c r="U48" i="15"/>
  <c r="T172" i="8"/>
  <c r="T174" i="8"/>
  <c r="C60" i="24"/>
  <c r="AD33" i="22"/>
  <c r="AC37" i="22"/>
  <c r="U170" i="8"/>
  <c r="F68" i="4"/>
  <c r="F72" i="4"/>
  <c r="F74" i="4"/>
  <c r="F76" i="4"/>
  <c r="U68" i="7"/>
  <c r="U72" i="7"/>
  <c r="U74" i="7"/>
  <c r="U76" i="7"/>
  <c r="S37" i="23"/>
  <c r="R17" i="19"/>
  <c r="R18" i="19"/>
  <c r="R27" i="19"/>
  <c r="R30" i="19"/>
  <c r="R17" i="20"/>
  <c r="R18" i="20"/>
  <c r="R27" i="20"/>
  <c r="R30" i="20"/>
  <c r="R18" i="23"/>
  <c r="R27" i="23"/>
  <c r="R30" i="23"/>
  <c r="L62" i="14"/>
  <c r="X40" i="14"/>
  <c r="V10" i="20"/>
  <c r="V34" i="14"/>
  <c r="V34" i="15"/>
  <c r="V34" i="16"/>
  <c r="V34" i="13"/>
  <c r="V166" i="8"/>
  <c r="L62" i="15"/>
  <c r="X40" i="15"/>
  <c r="AE37" i="18"/>
  <c r="AF33" i="18"/>
  <c r="AE15" i="19"/>
  <c r="AE15" i="21"/>
  <c r="AF15" i="23"/>
  <c r="AM15" i="20"/>
  <c r="C60" i="25"/>
  <c r="K55" i="25"/>
  <c r="J56" i="25"/>
  <c r="AD40" i="15"/>
  <c r="AF41" i="13"/>
  <c r="AF41" i="14"/>
  <c r="K54" i="24"/>
  <c r="J55" i="24"/>
  <c r="AE15" i="22"/>
  <c r="AD18" i="22"/>
  <c r="V12" i="23"/>
  <c r="W8" i="23"/>
  <c r="L62" i="16"/>
  <c r="X40" i="16"/>
  <c r="X40" i="13"/>
  <c r="BA40" i="13"/>
  <c r="AF16" i="19"/>
  <c r="AN16" i="20"/>
  <c r="AF16" i="21"/>
  <c r="AG16" i="23"/>
  <c r="AE15" i="18"/>
  <c r="AD40" i="16"/>
  <c r="AD40" i="14"/>
  <c r="S37" i="13"/>
  <c r="S44" i="13"/>
  <c r="S46" i="13"/>
  <c r="S50" i="13"/>
  <c r="T48" i="13"/>
  <c r="E72" i="4"/>
  <c r="E74" i="4"/>
  <c r="E76" i="4"/>
  <c r="AF33" i="20"/>
  <c r="AE37" i="20"/>
  <c r="AG33" i="21"/>
  <c r="AF37" i="21"/>
  <c r="S24" i="22"/>
  <c r="S27" i="22"/>
  <c r="S30" i="22"/>
  <c r="T21" i="22"/>
  <c r="T78" i="7"/>
  <c r="AC23" i="18"/>
  <c r="AC23" i="20"/>
  <c r="AD23" i="23"/>
  <c r="E54" i="24"/>
  <c r="AG167" i="8"/>
  <c r="AG69" i="7"/>
  <c r="F69" i="5"/>
  <c r="B55" i="24"/>
  <c r="H54" i="24"/>
  <c r="AG41" i="16"/>
  <c r="AG23" i="19"/>
  <c r="G54" i="24"/>
  <c r="AF23" i="22"/>
  <c r="AE33" i="19"/>
  <c r="AD37" i="19"/>
  <c r="V12" i="20"/>
  <c r="AE10" i="22"/>
  <c r="AE12" i="22"/>
  <c r="AF8" i="22"/>
  <c r="AE10" i="18"/>
  <c r="AE12" i="18"/>
  <c r="AF8" i="18"/>
  <c r="AG16" i="19"/>
  <c r="AO16" i="20"/>
  <c r="AG16" i="21"/>
  <c r="AH16" i="23"/>
  <c r="I54" i="24"/>
  <c r="D55" i="24"/>
  <c r="K55" i="24"/>
  <c r="J56" i="24"/>
  <c r="C61" i="25"/>
  <c r="AF37" i="18"/>
  <c r="AG33" i="18"/>
  <c r="U78" i="7"/>
  <c r="U80" i="7"/>
  <c r="AD37" i="22"/>
  <c r="AE33" i="22"/>
  <c r="AF33" i="19"/>
  <c r="AE37" i="19"/>
  <c r="T24" i="22"/>
  <c r="T27" i="22"/>
  <c r="T30" i="22"/>
  <c r="U21" i="22"/>
  <c r="AG37" i="21"/>
  <c r="AH33" i="21"/>
  <c r="W8" i="19"/>
  <c r="W8" i="20"/>
  <c r="W10" i="23"/>
  <c r="W12" i="23"/>
  <c r="X8" i="23"/>
  <c r="S17" i="20"/>
  <c r="S18" i="20"/>
  <c r="S27" i="20"/>
  <c r="S30" i="20"/>
  <c r="S17" i="19"/>
  <c r="S18" i="19"/>
  <c r="S27" i="19"/>
  <c r="S30" i="19"/>
  <c r="S18" i="23"/>
  <c r="S27" i="23"/>
  <c r="S30" i="23"/>
  <c r="AG23" i="22"/>
  <c r="T21" i="21"/>
  <c r="T21" i="20"/>
  <c r="T21" i="19"/>
  <c r="T21" i="18"/>
  <c r="AF37" i="20"/>
  <c r="AG33" i="20"/>
  <c r="AF15" i="18"/>
  <c r="AF15" i="22"/>
  <c r="AE18" i="22"/>
  <c r="AF15" i="19"/>
  <c r="AN15" i="20"/>
  <c r="AG15" i="23"/>
  <c r="AF15" i="21"/>
  <c r="G68" i="4"/>
  <c r="V170" i="8"/>
  <c r="V68" i="7"/>
  <c r="V72" i="7"/>
  <c r="V74" i="7"/>
  <c r="V76" i="7"/>
  <c r="T33" i="13"/>
  <c r="T37" i="16"/>
  <c r="T44" i="16"/>
  <c r="T46" i="16"/>
  <c r="T50" i="16"/>
  <c r="AI33" i="23"/>
  <c r="AG41" i="14"/>
  <c r="AG41" i="13"/>
  <c r="E23" i="17"/>
  <c r="AD23" i="20"/>
  <c r="AE23" i="20"/>
  <c r="AF23" i="20"/>
  <c r="AG23" i="20"/>
  <c r="H55" i="24"/>
  <c r="AH41" i="16"/>
  <c r="AH23" i="19"/>
  <c r="B56" i="24"/>
  <c r="E55" i="24"/>
  <c r="AH167" i="8"/>
  <c r="AH69" i="7"/>
  <c r="G69" i="5"/>
  <c r="G55" i="24"/>
  <c r="AD23" i="18"/>
  <c r="AD23" i="21"/>
  <c r="AE23" i="23"/>
  <c r="T80" i="7"/>
  <c r="K56" i="25"/>
  <c r="J57" i="25"/>
  <c r="U33" i="15"/>
  <c r="U37" i="15"/>
  <c r="U44" i="15"/>
  <c r="U46" i="15"/>
  <c r="U50" i="15"/>
  <c r="V48" i="15"/>
  <c r="U33" i="16"/>
  <c r="U33" i="14"/>
  <c r="U37" i="14"/>
  <c r="U44" i="14"/>
  <c r="U46" i="14"/>
  <c r="U50" i="14"/>
  <c r="V48" i="14"/>
  <c r="U172" i="8"/>
  <c r="U174" i="8"/>
  <c r="C61" i="24"/>
  <c r="H57" i="25"/>
  <c r="B58" i="25"/>
  <c r="E57" i="25"/>
  <c r="I57" i="25"/>
  <c r="D58" i="25"/>
  <c r="G57" i="25"/>
  <c r="T21" i="23"/>
  <c r="AF10" i="18"/>
  <c r="AF12" i="18"/>
  <c r="AG8" i="18"/>
  <c r="X8" i="19"/>
  <c r="X8" i="20"/>
  <c r="X10" i="23"/>
  <c r="X12" i="23"/>
  <c r="Y8" i="23"/>
  <c r="AI23" i="19"/>
  <c r="T17" i="18"/>
  <c r="T18" i="18"/>
  <c r="T17" i="21"/>
  <c r="T17" i="22"/>
  <c r="T17" i="23"/>
  <c r="U48" i="16"/>
  <c r="U21" i="18"/>
  <c r="T24" i="18"/>
  <c r="K56" i="24"/>
  <c r="J57" i="24"/>
  <c r="AP16" i="20"/>
  <c r="AH16" i="19"/>
  <c r="AH16" i="21"/>
  <c r="AI16" i="23"/>
  <c r="H58" i="25"/>
  <c r="B59" i="25"/>
  <c r="E58" i="25"/>
  <c r="I58" i="25"/>
  <c r="D59" i="25"/>
  <c r="G58" i="25"/>
  <c r="T35" i="19"/>
  <c r="U35" i="19"/>
  <c r="T35" i="21"/>
  <c r="U35" i="21"/>
  <c r="T35" i="23"/>
  <c r="T35" i="22"/>
  <c r="U35" i="22"/>
  <c r="T35" i="18"/>
  <c r="U35" i="18"/>
  <c r="T35" i="20"/>
  <c r="U35" i="20"/>
  <c r="T37" i="13"/>
  <c r="T44" i="13"/>
  <c r="T46" i="13"/>
  <c r="T50" i="13"/>
  <c r="U48" i="13"/>
  <c r="AG15" i="18"/>
  <c r="T24" i="19"/>
  <c r="U21" i="19"/>
  <c r="AI33" i="21"/>
  <c r="AH37" i="21"/>
  <c r="AF10" i="22"/>
  <c r="AF12" i="22"/>
  <c r="AG8" i="22"/>
  <c r="AH41" i="14"/>
  <c r="AH41" i="13"/>
  <c r="G72" i="4"/>
  <c r="G74" i="4"/>
  <c r="G76" i="4"/>
  <c r="AH23" i="22"/>
  <c r="AI23" i="22"/>
  <c r="W12" i="19"/>
  <c r="W10" i="19"/>
  <c r="AH33" i="18"/>
  <c r="AG37" i="18"/>
  <c r="U21" i="23"/>
  <c r="T24" i="23"/>
  <c r="AE23" i="21"/>
  <c r="AE23" i="18"/>
  <c r="AF23" i="23"/>
  <c r="AH23" i="20"/>
  <c r="AJ33" i="23"/>
  <c r="V78" i="7"/>
  <c r="V80" i="7"/>
  <c r="AH33" i="20"/>
  <c r="AG37" i="20"/>
  <c r="U21" i="20"/>
  <c r="T24" i="20"/>
  <c r="W10" i="20"/>
  <c r="W34" i="14"/>
  <c r="W34" i="15"/>
  <c r="W34" i="16"/>
  <c r="W34" i="13"/>
  <c r="W166" i="8"/>
  <c r="AF37" i="19"/>
  <c r="AG33" i="19"/>
  <c r="C62" i="24"/>
  <c r="U33" i="13"/>
  <c r="U37" i="13"/>
  <c r="U44" i="13"/>
  <c r="U46" i="13"/>
  <c r="U50" i="13"/>
  <c r="V48" i="13"/>
  <c r="U37" i="16"/>
  <c r="U44" i="16"/>
  <c r="U46" i="16"/>
  <c r="U50" i="16"/>
  <c r="J58" i="25"/>
  <c r="K57" i="25"/>
  <c r="H56" i="24"/>
  <c r="AI41" i="16"/>
  <c r="B57" i="24"/>
  <c r="E56" i="24"/>
  <c r="AI167" i="8"/>
  <c r="AI69" i="7"/>
  <c r="H69" i="5"/>
  <c r="G56" i="24"/>
  <c r="V33" i="14"/>
  <c r="V37" i="14"/>
  <c r="V44" i="14"/>
  <c r="V46" i="14"/>
  <c r="V50" i="14"/>
  <c r="W48" i="14"/>
  <c r="V33" i="15"/>
  <c r="V37" i="15"/>
  <c r="V44" i="15"/>
  <c r="V46" i="15"/>
  <c r="V50" i="15"/>
  <c r="W48" i="15"/>
  <c r="V172" i="8"/>
  <c r="V174" i="8"/>
  <c r="V33" i="16"/>
  <c r="AO15" i="20"/>
  <c r="AG15" i="19"/>
  <c r="AG15" i="21"/>
  <c r="AH15" i="23"/>
  <c r="AG15" i="22"/>
  <c r="AF18" i="22"/>
  <c r="U21" i="21"/>
  <c r="T24" i="21"/>
  <c r="T27" i="21"/>
  <c r="T30" i="21"/>
  <c r="W12" i="20"/>
  <c r="V21" i="22"/>
  <c r="U24" i="22"/>
  <c r="U27" i="22"/>
  <c r="U30" i="22"/>
  <c r="AF33" i="22"/>
  <c r="AE37" i="22"/>
  <c r="C62" i="25"/>
  <c r="I55" i="24"/>
  <c r="D56" i="24"/>
  <c r="AG10" i="22"/>
  <c r="AG12" i="22"/>
  <c r="AH8" i="22"/>
  <c r="AG10" i="18"/>
  <c r="AG12" i="18"/>
  <c r="AH8" i="18"/>
  <c r="E57" i="24"/>
  <c r="AJ167" i="8"/>
  <c r="AJ69" i="7"/>
  <c r="I69" i="5"/>
  <c r="H57" i="24"/>
  <c r="AJ41" i="16"/>
  <c r="B58" i="24"/>
  <c r="G57" i="24"/>
  <c r="U17" i="18"/>
  <c r="U18" i="18"/>
  <c r="U17" i="21"/>
  <c r="U17" i="22"/>
  <c r="U17" i="23"/>
  <c r="V48" i="16"/>
  <c r="AG37" i="19"/>
  <c r="AH33" i="19"/>
  <c r="V21" i="20"/>
  <c r="U24" i="20"/>
  <c r="AK33" i="23"/>
  <c r="AI33" i="18"/>
  <c r="AH37" i="18"/>
  <c r="U24" i="19"/>
  <c r="V21" i="19"/>
  <c r="V35" i="18"/>
  <c r="V35" i="19"/>
  <c r="U24" i="18"/>
  <c r="V21" i="18"/>
  <c r="Y8" i="19"/>
  <c r="Y10" i="23"/>
  <c r="Y8" i="20"/>
  <c r="C63" i="25"/>
  <c r="AH15" i="18"/>
  <c r="V35" i="21"/>
  <c r="E59" i="25"/>
  <c r="I59" i="25"/>
  <c r="D60" i="25"/>
  <c r="H59" i="25"/>
  <c r="B60" i="25"/>
  <c r="G59" i="25"/>
  <c r="AJ23" i="19"/>
  <c r="X10" i="19"/>
  <c r="X12" i="19"/>
  <c r="AH15" i="22"/>
  <c r="AG18" i="22"/>
  <c r="I56" i="24"/>
  <c r="D57" i="24"/>
  <c r="AG33" i="22"/>
  <c r="AF37" i="22"/>
  <c r="AI41" i="13"/>
  <c r="AI41" i="14"/>
  <c r="AI23" i="20"/>
  <c r="V35" i="22"/>
  <c r="AI16" i="19"/>
  <c r="AQ16" i="20"/>
  <c r="AI16" i="21"/>
  <c r="AJ16" i="23"/>
  <c r="K57" i="24"/>
  <c r="J58" i="24"/>
  <c r="X10" i="20"/>
  <c r="X12" i="20"/>
  <c r="X34" i="16"/>
  <c r="X34" i="13"/>
  <c r="X34" i="14"/>
  <c r="X34" i="15"/>
  <c r="X166" i="8"/>
  <c r="V24" i="22"/>
  <c r="V27" i="22"/>
  <c r="V30" i="22"/>
  <c r="K58" i="25"/>
  <c r="J59" i="25"/>
  <c r="AJ33" i="21"/>
  <c r="AI37" i="21"/>
  <c r="V35" i="20"/>
  <c r="T17" i="20"/>
  <c r="T18" i="20"/>
  <c r="T27" i="20"/>
  <c r="T30" i="20"/>
  <c r="T17" i="19"/>
  <c r="T18" i="19"/>
  <c r="T27" i="19"/>
  <c r="T30" i="19"/>
  <c r="T18" i="23"/>
  <c r="T27" i="23"/>
  <c r="T30" i="23"/>
  <c r="V21" i="21"/>
  <c r="U24" i="21"/>
  <c r="U27" i="21"/>
  <c r="U30" i="21"/>
  <c r="AP15" i="20"/>
  <c r="AH15" i="21"/>
  <c r="AI15" i="23"/>
  <c r="AH15" i="19"/>
  <c r="V33" i="13"/>
  <c r="V37" i="13"/>
  <c r="V44" i="13"/>
  <c r="V46" i="13"/>
  <c r="V50" i="13"/>
  <c r="W48" i="13"/>
  <c r="V37" i="16"/>
  <c r="V44" i="16"/>
  <c r="V46" i="16"/>
  <c r="C63" i="24"/>
  <c r="W68" i="7"/>
  <c r="W72" i="7"/>
  <c r="W74" i="7"/>
  <c r="W76" i="7"/>
  <c r="W170" i="8"/>
  <c r="H68" i="4"/>
  <c r="AI33" i="20"/>
  <c r="AH37" i="20"/>
  <c r="AF23" i="18"/>
  <c r="AF23" i="21"/>
  <c r="AG23" i="23"/>
  <c r="V21" i="23"/>
  <c r="U24" i="23"/>
  <c r="U35" i="23"/>
  <c r="T37" i="23"/>
  <c r="T27" i="18"/>
  <c r="T30" i="18"/>
  <c r="AH10" i="18"/>
  <c r="AH12" i="18"/>
  <c r="AI8" i="18"/>
  <c r="AH12" i="22"/>
  <c r="AI8" i="22"/>
  <c r="AH10" i="22"/>
  <c r="Y10" i="20"/>
  <c r="Y34" i="15"/>
  <c r="Y34" i="16"/>
  <c r="Y34" i="13"/>
  <c r="Y166" i="8"/>
  <c r="Y34" i="14"/>
  <c r="AL33" i="23"/>
  <c r="AG23" i="18"/>
  <c r="AH23" i="23"/>
  <c r="AG23" i="21"/>
  <c r="AI37" i="20"/>
  <c r="AJ33" i="20"/>
  <c r="AJ37" i="21"/>
  <c r="AK33" i="21"/>
  <c r="K58" i="24"/>
  <c r="J59" i="24"/>
  <c r="AJ23" i="20"/>
  <c r="AI15" i="22"/>
  <c r="AH18" i="22"/>
  <c r="C64" i="25"/>
  <c r="Y12" i="23"/>
  <c r="Z8" i="23"/>
  <c r="U27" i="18"/>
  <c r="U30" i="18"/>
  <c r="V35" i="23"/>
  <c r="U37" i="23"/>
  <c r="H72" i="4"/>
  <c r="H74" i="4"/>
  <c r="H76" i="4"/>
  <c r="C64" i="24"/>
  <c r="AG37" i="22"/>
  <c r="AH33" i="22"/>
  <c r="E60" i="25"/>
  <c r="I60" i="25"/>
  <c r="D61" i="25"/>
  <c r="B61" i="25"/>
  <c r="H60" i="25"/>
  <c r="G60" i="25"/>
  <c r="AI15" i="18"/>
  <c r="Y10" i="19"/>
  <c r="Y12" i="19"/>
  <c r="AJ33" i="18"/>
  <c r="AI37" i="18"/>
  <c r="V24" i="20"/>
  <c r="U17" i="19"/>
  <c r="U18" i="19"/>
  <c r="U27" i="19"/>
  <c r="U30" i="19"/>
  <c r="U17" i="20"/>
  <c r="U18" i="20"/>
  <c r="U27" i="20"/>
  <c r="U30" i="20"/>
  <c r="U18" i="23"/>
  <c r="U27" i="23"/>
  <c r="U30" i="23"/>
  <c r="V24" i="23"/>
  <c r="W80" i="7"/>
  <c r="W35" i="18"/>
  <c r="W78" i="7"/>
  <c r="W21" i="22"/>
  <c r="X68" i="7"/>
  <c r="X72" i="7"/>
  <c r="X74" i="7"/>
  <c r="X76" i="7"/>
  <c r="I68" i="4"/>
  <c r="I72" i="4"/>
  <c r="I74" i="4"/>
  <c r="I76" i="4"/>
  <c r="X170" i="8"/>
  <c r="AJ41" i="13"/>
  <c r="AJ41" i="14"/>
  <c r="AJ23" i="22"/>
  <c r="W33" i="14"/>
  <c r="W37" i="14"/>
  <c r="W44" i="14"/>
  <c r="W46" i="14"/>
  <c r="W50" i="14"/>
  <c r="X48" i="14"/>
  <c r="W33" i="15"/>
  <c r="W37" i="15"/>
  <c r="W44" i="15"/>
  <c r="W46" i="15"/>
  <c r="W50" i="15"/>
  <c r="X48" i="15"/>
  <c r="W33" i="16"/>
  <c r="W172" i="8"/>
  <c r="W174" i="8"/>
  <c r="V50" i="16"/>
  <c r="AI15" i="19"/>
  <c r="AQ15" i="20"/>
  <c r="AI15" i="21"/>
  <c r="AJ15" i="23"/>
  <c r="W21" i="21"/>
  <c r="V24" i="21"/>
  <c r="V27" i="21"/>
  <c r="V30" i="21"/>
  <c r="K59" i="25"/>
  <c r="J60" i="25"/>
  <c r="AJ16" i="19"/>
  <c r="AK16" i="23"/>
  <c r="AJ16" i="21"/>
  <c r="AR16" i="20"/>
  <c r="I57" i="24"/>
  <c r="D58" i="24"/>
  <c r="Y12" i="20"/>
  <c r="W21" i="18"/>
  <c r="V24" i="18"/>
  <c r="W21" i="19"/>
  <c r="V24" i="19"/>
  <c r="AI33" i="19"/>
  <c r="AH37" i="19"/>
  <c r="E58" i="24"/>
  <c r="AK167" i="8"/>
  <c r="AK69" i="7"/>
  <c r="J69" i="5"/>
  <c r="H58" i="24"/>
  <c r="AK41" i="16"/>
  <c r="AK23" i="19"/>
  <c r="B59" i="24"/>
  <c r="G58" i="24"/>
  <c r="AI12" i="18"/>
  <c r="AJ8" i="18"/>
  <c r="AI10" i="18"/>
  <c r="X33" i="15"/>
  <c r="X37" i="15"/>
  <c r="X44" i="15"/>
  <c r="X46" i="15"/>
  <c r="X50" i="15"/>
  <c r="Y48" i="15"/>
  <c r="X33" i="16"/>
  <c r="X172" i="8"/>
  <c r="X174" i="8"/>
  <c r="X33" i="14"/>
  <c r="X37" i="14"/>
  <c r="X44" i="14"/>
  <c r="X46" i="14"/>
  <c r="X50" i="14"/>
  <c r="Y48" i="14"/>
  <c r="W35" i="21"/>
  <c r="I58" i="24"/>
  <c r="D59" i="24"/>
  <c r="AK16" i="19"/>
  <c r="AS16" i="20"/>
  <c r="AK16" i="21"/>
  <c r="AL16" i="23"/>
  <c r="W35" i="20"/>
  <c r="V17" i="18"/>
  <c r="V18" i="18"/>
  <c r="V27" i="18"/>
  <c r="V30" i="18"/>
  <c r="V17" i="21"/>
  <c r="V17" i="22"/>
  <c r="V17" i="23"/>
  <c r="W48" i="16"/>
  <c r="AK33" i="18"/>
  <c r="AJ37" i="18"/>
  <c r="H61" i="25"/>
  <c r="B62" i="25"/>
  <c r="E61" i="25"/>
  <c r="I61" i="25"/>
  <c r="D62" i="25"/>
  <c r="G61" i="25"/>
  <c r="Z8" i="19"/>
  <c r="Z12" i="23"/>
  <c r="AA8" i="23"/>
  <c r="Z10" i="23"/>
  <c r="Z8" i="20"/>
  <c r="AJ37" i="20"/>
  <c r="AK33" i="20"/>
  <c r="J68" i="4"/>
  <c r="J72" i="4"/>
  <c r="J74" i="4"/>
  <c r="J76" i="4"/>
  <c r="Y170" i="8"/>
  <c r="Y68" i="7"/>
  <c r="Y72" i="7"/>
  <c r="Y74" i="7"/>
  <c r="Y76" i="7"/>
  <c r="AK41" i="14"/>
  <c r="AK41" i="13"/>
  <c r="AJ15" i="19"/>
  <c r="AR15" i="20"/>
  <c r="AJ15" i="21"/>
  <c r="AK15" i="23"/>
  <c r="W35" i="19"/>
  <c r="AH23" i="18"/>
  <c r="AH23" i="21"/>
  <c r="AI23" i="23"/>
  <c r="AI10" i="22"/>
  <c r="AI12" i="22"/>
  <c r="AJ8" i="22"/>
  <c r="W24" i="19"/>
  <c r="W35" i="22"/>
  <c r="AK23" i="22"/>
  <c r="X80" i="7"/>
  <c r="X35" i="18"/>
  <c r="X78" i="7"/>
  <c r="X21" i="19"/>
  <c r="W21" i="23"/>
  <c r="AJ15" i="18"/>
  <c r="C65" i="24"/>
  <c r="W35" i="23"/>
  <c r="V37" i="23"/>
  <c r="C65" i="25"/>
  <c r="AI18" i="22"/>
  <c r="AJ15" i="22"/>
  <c r="AK37" i="21"/>
  <c r="AL33" i="21"/>
  <c r="AM33" i="23"/>
  <c r="J60" i="24"/>
  <c r="K59" i="24"/>
  <c r="H59" i="24"/>
  <c r="AL41" i="16"/>
  <c r="AL23" i="19"/>
  <c r="B60" i="24"/>
  <c r="E59" i="24"/>
  <c r="AL167" i="8"/>
  <c r="AL69" i="7"/>
  <c r="K69" i="5"/>
  <c r="G59" i="24"/>
  <c r="AJ33" i="19"/>
  <c r="AI37" i="19"/>
  <c r="X21" i="18"/>
  <c r="W24" i="18"/>
  <c r="J61" i="25"/>
  <c r="K60" i="25"/>
  <c r="X21" i="21"/>
  <c r="W24" i="21"/>
  <c r="W27" i="21"/>
  <c r="W30" i="21"/>
  <c r="W33" i="13"/>
  <c r="W37" i="13"/>
  <c r="W44" i="13"/>
  <c r="W46" i="13"/>
  <c r="W50" i="13"/>
  <c r="X48" i="13"/>
  <c r="W37" i="16"/>
  <c r="W44" i="16"/>
  <c r="W46" i="16"/>
  <c r="W50" i="16"/>
  <c r="X21" i="22"/>
  <c r="W24" i="22"/>
  <c r="W27" i="22"/>
  <c r="W30" i="22"/>
  <c r="W21" i="20"/>
  <c r="AH37" i="22"/>
  <c r="AI33" i="22"/>
  <c r="AK23" i="20"/>
  <c r="AL23" i="20"/>
  <c r="AJ10" i="22"/>
  <c r="AJ12" i="22"/>
  <c r="AK8" i="22"/>
  <c r="X24" i="19"/>
  <c r="X24" i="22"/>
  <c r="X27" i="22"/>
  <c r="X30" i="22"/>
  <c r="AJ18" i="22"/>
  <c r="AK15" i="22"/>
  <c r="V17" i="19"/>
  <c r="V18" i="19"/>
  <c r="V27" i="19"/>
  <c r="V30" i="19"/>
  <c r="V17" i="20"/>
  <c r="V18" i="20"/>
  <c r="V27" i="20"/>
  <c r="V30" i="20"/>
  <c r="V18" i="23"/>
  <c r="V27" i="23"/>
  <c r="V30" i="23"/>
  <c r="W17" i="18"/>
  <c r="W18" i="18"/>
  <c r="W27" i="18"/>
  <c r="W30" i="18"/>
  <c r="W17" i="21"/>
  <c r="W17" i="23"/>
  <c r="W17" i="22"/>
  <c r="X48" i="16"/>
  <c r="X24" i="21"/>
  <c r="X27" i="21"/>
  <c r="X30" i="21"/>
  <c r="X24" i="18"/>
  <c r="K60" i="24"/>
  <c r="J61" i="24"/>
  <c r="X35" i="23"/>
  <c r="W37" i="23"/>
  <c r="AK15" i="18"/>
  <c r="AL23" i="22"/>
  <c r="AT16" i="20"/>
  <c r="AL16" i="19"/>
  <c r="AL16" i="21"/>
  <c r="AM16" i="23"/>
  <c r="I59" i="24"/>
  <c r="D60" i="24"/>
  <c r="X33" i="13"/>
  <c r="X37" i="13"/>
  <c r="X44" i="13"/>
  <c r="X46" i="13"/>
  <c r="X50" i="13"/>
  <c r="Y48" i="13"/>
  <c r="X37" i="16"/>
  <c r="X44" i="16"/>
  <c r="X46" i="16"/>
  <c r="X50" i="16"/>
  <c r="AJ33" i="22"/>
  <c r="AI37" i="22"/>
  <c r="AN33" i="23"/>
  <c r="AI23" i="18"/>
  <c r="AI23" i="21"/>
  <c r="AJ23" i="23"/>
  <c r="AS15" i="20"/>
  <c r="AK15" i="21"/>
  <c r="AL15" i="23"/>
  <c r="AK15" i="19"/>
  <c r="Y33" i="14"/>
  <c r="Y37" i="14"/>
  <c r="Y44" i="14"/>
  <c r="Y46" i="14"/>
  <c r="Y50" i="14"/>
  <c r="Z48" i="14"/>
  <c r="Y33" i="16"/>
  <c r="Y33" i="15"/>
  <c r="Y37" i="15"/>
  <c r="Y44" i="15"/>
  <c r="Y46" i="15"/>
  <c r="Y50" i="15"/>
  <c r="Z48" i="15"/>
  <c r="Y172" i="8"/>
  <c r="Y174" i="8"/>
  <c r="Z12" i="19"/>
  <c r="Z10" i="19"/>
  <c r="X35" i="20"/>
  <c r="AJ12" i="18"/>
  <c r="AK8" i="18"/>
  <c r="AJ10" i="18"/>
  <c r="W24" i="20"/>
  <c r="X21" i="20"/>
  <c r="H60" i="24"/>
  <c r="AM41" i="16"/>
  <c r="AM23" i="19"/>
  <c r="B61" i="24"/>
  <c r="E60" i="24"/>
  <c r="AM167" i="8"/>
  <c r="AM69" i="7"/>
  <c r="L69" i="5"/>
  <c r="G60" i="24"/>
  <c r="AM33" i="21"/>
  <c r="AL37" i="21"/>
  <c r="C66" i="24"/>
  <c r="W24" i="23"/>
  <c r="X21" i="23"/>
  <c r="AL33" i="20"/>
  <c r="AK37" i="20"/>
  <c r="Z10" i="20"/>
  <c r="Z12" i="20"/>
  <c r="Z34" i="14"/>
  <c r="Z34" i="15"/>
  <c r="Z166" i="8"/>
  <c r="Z34" i="16"/>
  <c r="AL33" i="18"/>
  <c r="AK37" i="18"/>
  <c r="X35" i="21"/>
  <c r="K61" i="25"/>
  <c r="J62" i="25"/>
  <c r="AK33" i="19"/>
  <c r="AJ37" i="19"/>
  <c r="AL41" i="14"/>
  <c r="AL41" i="13"/>
  <c r="C66" i="25"/>
  <c r="X35" i="22"/>
  <c r="X35" i="19"/>
  <c r="Y78" i="7"/>
  <c r="Y21" i="21"/>
  <c r="AA8" i="20"/>
  <c r="AA8" i="19"/>
  <c r="AA10" i="23"/>
  <c r="AA12" i="23"/>
  <c r="AB8" i="23"/>
  <c r="H62" i="25"/>
  <c r="B63" i="25"/>
  <c r="E62" i="25"/>
  <c r="I62" i="25"/>
  <c r="D63" i="25"/>
  <c r="G62" i="25"/>
  <c r="Y24" i="21"/>
  <c r="Y27" i="21"/>
  <c r="Y30" i="21"/>
  <c r="AB8" i="20"/>
  <c r="AB10" i="23"/>
  <c r="AB12" i="23"/>
  <c r="AC8" i="23"/>
  <c r="AB8" i="19"/>
  <c r="AK10" i="22"/>
  <c r="AK12" i="22"/>
  <c r="AL8" i="22"/>
  <c r="C67" i="25"/>
  <c r="K68" i="4"/>
  <c r="K72" i="4"/>
  <c r="K74" i="4"/>
  <c r="K76" i="4"/>
  <c r="Z170" i="8"/>
  <c r="Z68" i="7"/>
  <c r="Z72" i="7"/>
  <c r="Z74" i="7"/>
  <c r="Z76" i="7"/>
  <c r="X17" i="18"/>
  <c r="X18" i="18"/>
  <c r="X27" i="18"/>
  <c r="X30" i="18"/>
  <c r="X17" i="21"/>
  <c r="X17" i="22"/>
  <c r="X17" i="23"/>
  <c r="Y48" i="16"/>
  <c r="X37" i="23"/>
  <c r="Y21" i="22"/>
  <c r="AA12" i="20"/>
  <c r="K62" i="25"/>
  <c r="J63" i="25"/>
  <c r="AM33" i="20"/>
  <c r="AL37" i="20"/>
  <c r="C67" i="24"/>
  <c r="Y21" i="20"/>
  <c r="X24" i="20"/>
  <c r="AJ23" i="18"/>
  <c r="AJ23" i="21"/>
  <c r="AK23" i="23"/>
  <c r="AO33" i="23"/>
  <c r="Y21" i="18"/>
  <c r="AL15" i="22"/>
  <c r="AK18" i="22"/>
  <c r="Y21" i="19"/>
  <c r="E63" i="25"/>
  <c r="I63" i="25"/>
  <c r="D64" i="25"/>
  <c r="B64" i="25"/>
  <c r="H63" i="25"/>
  <c r="G63" i="25"/>
  <c r="AK37" i="19"/>
  <c r="AL33" i="19"/>
  <c r="AM41" i="14"/>
  <c r="AM41" i="13"/>
  <c r="AK10" i="18"/>
  <c r="AK12" i="18"/>
  <c r="AL8" i="18"/>
  <c r="AM23" i="22"/>
  <c r="Y80" i="7"/>
  <c r="Y35" i="18"/>
  <c r="AM33" i="18"/>
  <c r="AL37" i="18"/>
  <c r="Y33" i="13"/>
  <c r="Y37" i="13"/>
  <c r="Y44" i="13"/>
  <c r="Y46" i="13"/>
  <c r="Y50" i="13"/>
  <c r="Z48" i="13"/>
  <c r="Y37" i="16"/>
  <c r="Y44" i="16"/>
  <c r="Y46" i="16"/>
  <c r="AL15" i="19"/>
  <c r="AT15" i="20"/>
  <c r="AL15" i="21"/>
  <c r="AM15" i="23"/>
  <c r="I60" i="24"/>
  <c r="D61" i="24"/>
  <c r="AL15" i="18"/>
  <c r="K61" i="24"/>
  <c r="J62" i="24"/>
  <c r="W17" i="20"/>
  <c r="W18" i="20"/>
  <c r="W27" i="20"/>
  <c r="W30" i="20"/>
  <c r="W17" i="19"/>
  <c r="W18" i="19"/>
  <c r="W27" i="19"/>
  <c r="W30" i="19"/>
  <c r="W18" i="23"/>
  <c r="W27" i="23"/>
  <c r="W30" i="23"/>
  <c r="AA12" i="19"/>
  <c r="AA10" i="19"/>
  <c r="AN33" i="21"/>
  <c r="AM37" i="21"/>
  <c r="AA10" i="20"/>
  <c r="AA34" i="14"/>
  <c r="AA34" i="15"/>
  <c r="AA34" i="16"/>
  <c r="AA34" i="13"/>
  <c r="AA166" i="8"/>
  <c r="AM23" i="20"/>
  <c r="AN23" i="20"/>
  <c r="Z34" i="13"/>
  <c r="Y21" i="23"/>
  <c r="X24" i="23"/>
  <c r="E61" i="24"/>
  <c r="AN167" i="8"/>
  <c r="AN69" i="7"/>
  <c r="M69" i="5"/>
  <c r="B62" i="24"/>
  <c r="H61" i="24"/>
  <c r="AN41" i="16"/>
  <c r="AN23" i="19"/>
  <c r="G61" i="24"/>
  <c r="AK33" i="22"/>
  <c r="AJ37" i="22"/>
  <c r="AU16" i="20"/>
  <c r="AM16" i="19"/>
  <c r="AM16" i="21"/>
  <c r="AN16" i="23"/>
  <c r="AL10" i="18"/>
  <c r="AL12" i="18"/>
  <c r="AM8" i="18"/>
  <c r="AL12" i="22"/>
  <c r="AM8" i="22"/>
  <c r="AL10" i="22"/>
  <c r="Y24" i="18"/>
  <c r="AN33" i="20"/>
  <c r="AM37" i="20"/>
  <c r="C68" i="25"/>
  <c r="AB10" i="19"/>
  <c r="AB12" i="19"/>
  <c r="AO23" i="20"/>
  <c r="I61" i="24"/>
  <c r="D62" i="24"/>
  <c r="AN23" i="22"/>
  <c r="Z21" i="19"/>
  <c r="Y24" i="19"/>
  <c r="K63" i="25"/>
  <c r="J64" i="25"/>
  <c r="Z21" i="22"/>
  <c r="Y24" i="22"/>
  <c r="Y27" i="22"/>
  <c r="Y30" i="22"/>
  <c r="X17" i="19"/>
  <c r="X18" i="19"/>
  <c r="X27" i="19"/>
  <c r="X30" i="19"/>
  <c r="X17" i="20"/>
  <c r="X18" i="20"/>
  <c r="X27" i="20"/>
  <c r="X30" i="20"/>
  <c r="X18" i="23"/>
  <c r="X27" i="23"/>
  <c r="X30" i="23"/>
  <c r="Z78" i="7"/>
  <c r="Z21" i="21"/>
  <c r="AC8" i="19"/>
  <c r="AC8" i="20"/>
  <c r="AC12" i="23"/>
  <c r="AD8" i="23"/>
  <c r="AC10" i="23"/>
  <c r="AN37" i="21"/>
  <c r="AO33" i="21"/>
  <c r="K62" i="24"/>
  <c r="J63" i="24"/>
  <c r="AN16" i="19"/>
  <c r="AV16" i="20"/>
  <c r="AN16" i="21"/>
  <c r="AO16" i="23"/>
  <c r="AN41" i="13"/>
  <c r="AN41" i="14"/>
  <c r="Z21" i="23"/>
  <c r="Y24" i="23"/>
  <c r="AA68" i="7"/>
  <c r="AA72" i="7"/>
  <c r="AA74" i="7"/>
  <c r="AA76" i="7"/>
  <c r="L68" i="4"/>
  <c r="L72" i="4"/>
  <c r="L74" i="4"/>
  <c r="L76" i="4"/>
  <c r="AA170" i="8"/>
  <c r="Y35" i="21"/>
  <c r="AN33" i="18"/>
  <c r="AM37" i="18"/>
  <c r="AP33" i="23"/>
  <c r="Y35" i="20"/>
  <c r="C68" i="24"/>
  <c r="Z33" i="14"/>
  <c r="Z37" i="14"/>
  <c r="Z44" i="14"/>
  <c r="Z46" i="14"/>
  <c r="Z50" i="14"/>
  <c r="AA48" i="14"/>
  <c r="Z33" i="15"/>
  <c r="Z37" i="15"/>
  <c r="Z44" i="15"/>
  <c r="Z46" i="15"/>
  <c r="Z50" i="15"/>
  <c r="AA48" i="15"/>
  <c r="Z33" i="16"/>
  <c r="Z172" i="8"/>
  <c r="Z174" i="8"/>
  <c r="AB10" i="20"/>
  <c r="AB34" i="16"/>
  <c r="AB34" i="13"/>
  <c r="AB34" i="15"/>
  <c r="AB34" i="14"/>
  <c r="AB166" i="8"/>
  <c r="Z21" i="20"/>
  <c r="Y24" i="20"/>
  <c r="AL33" i="22"/>
  <c r="AK37" i="22"/>
  <c r="E62" i="24"/>
  <c r="AO167" i="8"/>
  <c r="AO69" i="7"/>
  <c r="N69" i="5"/>
  <c r="P69" i="5"/>
  <c r="F69" i="1"/>
  <c r="B63" i="24"/>
  <c r="H62" i="24"/>
  <c r="AO41" i="16"/>
  <c r="G62" i="24"/>
  <c r="AM15" i="18"/>
  <c r="AM15" i="19"/>
  <c r="AU15" i="20"/>
  <c r="AM15" i="21"/>
  <c r="AN15" i="23"/>
  <c r="Y50" i="16"/>
  <c r="Y35" i="22"/>
  <c r="AM33" i="19"/>
  <c r="AL37" i="19"/>
  <c r="E64" i="25"/>
  <c r="I64" i="25"/>
  <c r="D65" i="25"/>
  <c r="H64" i="25"/>
  <c r="B65" i="25"/>
  <c r="G64" i="25"/>
  <c r="AM15" i="22"/>
  <c r="AL18" i="22"/>
  <c r="AK23" i="18"/>
  <c r="AK23" i="21"/>
  <c r="AL23" i="23"/>
  <c r="Y35" i="19"/>
  <c r="Y35" i="23"/>
  <c r="AB12" i="20"/>
  <c r="AM10" i="18"/>
  <c r="AM12" i="18"/>
  <c r="AN8" i="18"/>
  <c r="C69" i="24"/>
  <c r="Z24" i="19"/>
  <c r="AM10" i="22"/>
  <c r="AM12" i="22"/>
  <c r="AN8" i="22"/>
  <c r="AN15" i="18"/>
  <c r="Z24" i="20"/>
  <c r="AA33" i="14"/>
  <c r="AA37" i="14"/>
  <c r="AA44" i="14"/>
  <c r="AA46" i="14"/>
  <c r="AA50" i="14"/>
  <c r="AB48" i="14"/>
  <c r="AA33" i="15"/>
  <c r="AA37" i="15"/>
  <c r="AA44" i="15"/>
  <c r="AA46" i="15"/>
  <c r="AA50" i="15"/>
  <c r="AB48" i="15"/>
  <c r="AA33" i="16"/>
  <c r="AA172" i="8"/>
  <c r="AA174" i="8"/>
  <c r="Z24" i="23"/>
  <c r="AC10" i="19"/>
  <c r="AC12" i="19"/>
  <c r="K64" i="25"/>
  <c r="J65" i="25"/>
  <c r="AO23" i="22"/>
  <c r="H65" i="25"/>
  <c r="B66" i="25"/>
  <c r="E65" i="25"/>
  <c r="I65" i="25"/>
  <c r="D66" i="25"/>
  <c r="G65" i="25"/>
  <c r="AN15" i="19"/>
  <c r="AV15" i="20"/>
  <c r="AN15" i="21"/>
  <c r="AO15" i="23"/>
  <c r="H63" i="24"/>
  <c r="AP41" i="16"/>
  <c r="B64" i="24"/>
  <c r="E63" i="24"/>
  <c r="AP167" i="8"/>
  <c r="AP69" i="7"/>
  <c r="C69" i="6"/>
  <c r="G63" i="24"/>
  <c r="Z33" i="13"/>
  <c r="Z37" i="13"/>
  <c r="Z44" i="13"/>
  <c r="Z46" i="13"/>
  <c r="Z50" i="13"/>
  <c r="AA48" i="13"/>
  <c r="Z37" i="16"/>
  <c r="Z44" i="16"/>
  <c r="Z46" i="16"/>
  <c r="AC12" i="20"/>
  <c r="AD8" i="20"/>
  <c r="E8" i="17"/>
  <c r="AL23" i="18"/>
  <c r="AL23" i="21"/>
  <c r="AM23" i="23"/>
  <c r="AN15" i="22"/>
  <c r="AM18" i="22"/>
  <c r="Y17" i="18"/>
  <c r="Y18" i="18"/>
  <c r="Y27" i="18"/>
  <c r="Y30" i="18"/>
  <c r="Y17" i="22"/>
  <c r="Y17" i="23"/>
  <c r="Y17" i="21"/>
  <c r="Z48" i="16"/>
  <c r="AB68" i="7"/>
  <c r="AB72" i="7"/>
  <c r="AB74" i="7"/>
  <c r="AB76" i="7"/>
  <c r="M68" i="4"/>
  <c r="M72" i="4"/>
  <c r="M74" i="4"/>
  <c r="M76" i="4"/>
  <c r="AB170" i="8"/>
  <c r="AQ33" i="23"/>
  <c r="AN37" i="18"/>
  <c r="AO33" i="18"/>
  <c r="AO37" i="21"/>
  <c r="AP33" i="21"/>
  <c r="AC10" i="20"/>
  <c r="E10" i="17"/>
  <c r="AC34" i="14"/>
  <c r="AC34" i="16"/>
  <c r="AC166" i="8"/>
  <c r="AC34" i="15"/>
  <c r="Z80" i="7"/>
  <c r="Z35" i="18"/>
  <c r="AN37" i="20"/>
  <c r="AO33" i="20"/>
  <c r="Y37" i="23"/>
  <c r="AN33" i="19"/>
  <c r="AM37" i="19"/>
  <c r="AO16" i="19"/>
  <c r="AO16" i="21"/>
  <c r="AW16" i="20"/>
  <c r="AP16" i="23"/>
  <c r="K63" i="24"/>
  <c r="J64" i="24"/>
  <c r="Z24" i="22"/>
  <c r="Z27" i="22"/>
  <c r="Z30" i="22"/>
  <c r="AP23" i="20"/>
  <c r="Z35" i="19"/>
  <c r="AO41" i="14"/>
  <c r="BC41" i="14"/>
  <c r="AO41" i="13"/>
  <c r="AL37" i="22"/>
  <c r="AM33" i="22"/>
  <c r="AA78" i="7"/>
  <c r="AA21" i="23"/>
  <c r="AD8" i="19"/>
  <c r="AD8" i="21"/>
  <c r="AD10" i="23"/>
  <c r="AD12" i="23"/>
  <c r="AE8" i="23"/>
  <c r="Z24" i="21"/>
  <c r="Z27" i="21"/>
  <c r="Z30" i="21"/>
  <c r="I62" i="24"/>
  <c r="D63" i="24"/>
  <c r="I63" i="24"/>
  <c r="D64" i="24"/>
  <c r="C69" i="25"/>
  <c r="Z21" i="18"/>
  <c r="AO23" i="19"/>
  <c r="AP23" i="19"/>
  <c r="AE8" i="19"/>
  <c r="AE8" i="21"/>
  <c r="AE10" i="23"/>
  <c r="AA24" i="23"/>
  <c r="AN10" i="22"/>
  <c r="AN12" i="22"/>
  <c r="AO8" i="22"/>
  <c r="AP33" i="18"/>
  <c r="AO37" i="18"/>
  <c r="AB33" i="14"/>
  <c r="AB37" i="14"/>
  <c r="AB44" i="14"/>
  <c r="AB46" i="14"/>
  <c r="AB50" i="14"/>
  <c r="AC48" i="14"/>
  <c r="AB33" i="16"/>
  <c r="AB172" i="8"/>
  <c r="AB174" i="8"/>
  <c r="AB33" i="15"/>
  <c r="AB37" i="15"/>
  <c r="AB44" i="15"/>
  <c r="AB46" i="15"/>
  <c r="AB50" i="15"/>
  <c r="AC48" i="15"/>
  <c r="AA80" i="7"/>
  <c r="AA35" i="18"/>
  <c r="Z35" i="21"/>
  <c r="AA35" i="21"/>
  <c r="AW15" i="20"/>
  <c r="AO15" i="19"/>
  <c r="AO15" i="21"/>
  <c r="AP15" i="23"/>
  <c r="AA33" i="13"/>
  <c r="AA37" i="13"/>
  <c r="AA44" i="13"/>
  <c r="AA46" i="13"/>
  <c r="AA50" i="13"/>
  <c r="AB48" i="13"/>
  <c r="AA37" i="16"/>
  <c r="AA44" i="16"/>
  <c r="AA46" i="16"/>
  <c r="AN10" i="18"/>
  <c r="AN12" i="18"/>
  <c r="AO8" i="18"/>
  <c r="C70" i="25"/>
  <c r="AA35" i="19"/>
  <c r="Z35" i="23"/>
  <c r="Z24" i="18"/>
  <c r="AA21" i="18"/>
  <c r="AA21" i="21"/>
  <c r="AN33" i="22"/>
  <c r="AM37" i="22"/>
  <c r="AX16" i="20"/>
  <c r="AQ16" i="23"/>
  <c r="AP16" i="19"/>
  <c r="AP16" i="22"/>
  <c r="AP33" i="20"/>
  <c r="AO37" i="20"/>
  <c r="N68" i="4"/>
  <c r="AC170" i="8"/>
  <c r="AC68" i="7"/>
  <c r="AC72" i="7"/>
  <c r="AC74" i="7"/>
  <c r="AC76" i="7"/>
  <c r="AQ33" i="21"/>
  <c r="AP37" i="21"/>
  <c r="AR33" i="23"/>
  <c r="AB78" i="7"/>
  <c r="AB21" i="23"/>
  <c r="Y17" i="19"/>
  <c r="Y18" i="19"/>
  <c r="Y27" i="19"/>
  <c r="Y30" i="19"/>
  <c r="Y17" i="20"/>
  <c r="Y18" i="20"/>
  <c r="Y27" i="20"/>
  <c r="Y30" i="20"/>
  <c r="Y18" i="23"/>
  <c r="Y27" i="23"/>
  <c r="Y30" i="23"/>
  <c r="AO15" i="22"/>
  <c r="AO18" i="22"/>
  <c r="AN18" i="22"/>
  <c r="Z50" i="16"/>
  <c r="H64" i="24"/>
  <c r="AQ41" i="16"/>
  <c r="B65" i="24"/>
  <c r="E64" i="24"/>
  <c r="AQ167" i="8"/>
  <c r="AQ69" i="7"/>
  <c r="D69" i="6"/>
  <c r="G64" i="24"/>
  <c r="K65" i="25"/>
  <c r="J66" i="25"/>
  <c r="AA21" i="20"/>
  <c r="AA21" i="19"/>
  <c r="AD10" i="21"/>
  <c r="AD12" i="21"/>
  <c r="AD34" i="15"/>
  <c r="AD34" i="16"/>
  <c r="AD166" i="8"/>
  <c r="K64" i="24"/>
  <c r="J65" i="24"/>
  <c r="AP16" i="21"/>
  <c r="AQ16" i="21"/>
  <c r="AR16" i="21"/>
  <c r="AS16" i="21"/>
  <c r="AT16" i="21"/>
  <c r="AU16" i="21"/>
  <c r="AV16" i="21"/>
  <c r="AW16" i="21"/>
  <c r="AX16" i="21"/>
  <c r="AY16" i="21"/>
  <c r="AZ16" i="21"/>
  <c r="BA16" i="21"/>
  <c r="F16" i="17"/>
  <c r="AD12" i="20"/>
  <c r="AE8" i="20"/>
  <c r="AD10" i="20"/>
  <c r="Z35" i="20"/>
  <c r="AA35" i="20"/>
  <c r="AO15" i="18"/>
  <c r="AQ23" i="19"/>
  <c r="AQ23" i="20"/>
  <c r="AD12" i="19"/>
  <c r="AD10" i="19"/>
  <c r="Z35" i="22"/>
  <c r="AA35" i="22"/>
  <c r="AA21" i="22"/>
  <c r="AN37" i="19"/>
  <c r="AO33" i="19"/>
  <c r="AC34" i="13"/>
  <c r="AM23" i="18"/>
  <c r="AM23" i="21"/>
  <c r="AN23" i="23"/>
  <c r="E12" i="17"/>
  <c r="AP41" i="15"/>
  <c r="AP41" i="13"/>
  <c r="H66" i="25"/>
  <c r="B67" i="25"/>
  <c r="E66" i="25"/>
  <c r="I66" i="25"/>
  <c r="D67" i="25"/>
  <c r="G66" i="25"/>
  <c r="C70" i="24"/>
  <c r="AO10" i="18"/>
  <c r="AO12" i="18"/>
  <c r="AP8" i="18"/>
  <c r="AB24" i="23"/>
  <c r="AO12" i="22"/>
  <c r="AO10" i="22"/>
  <c r="E67" i="25"/>
  <c r="I67" i="25"/>
  <c r="D68" i="25"/>
  <c r="H67" i="25"/>
  <c r="B68" i="25"/>
  <c r="G67" i="25"/>
  <c r="AE10" i="20"/>
  <c r="AE12" i="20"/>
  <c r="AF8" i="20"/>
  <c r="AC33" i="15"/>
  <c r="AC37" i="15"/>
  <c r="AC44" i="15"/>
  <c r="AC46" i="15"/>
  <c r="AC50" i="15"/>
  <c r="AD48" i="15"/>
  <c r="AC33" i="16"/>
  <c r="AC33" i="14"/>
  <c r="AC37" i="14"/>
  <c r="AC44" i="14"/>
  <c r="AC46" i="14"/>
  <c r="AC50" i="14"/>
  <c r="AC172" i="8"/>
  <c r="AC174" i="8"/>
  <c r="AB35" i="19"/>
  <c r="AR23" i="20"/>
  <c r="AS23" i="20"/>
  <c r="AT23" i="20"/>
  <c r="AU23" i="20"/>
  <c r="AV23" i="20"/>
  <c r="AW23" i="20"/>
  <c r="AX23" i="20"/>
  <c r="AY23" i="20"/>
  <c r="AZ23" i="20"/>
  <c r="BA23" i="20"/>
  <c r="E65" i="24"/>
  <c r="AR167" i="8"/>
  <c r="AR69" i="7"/>
  <c r="E69" i="6"/>
  <c r="H65" i="24"/>
  <c r="AR41" i="16"/>
  <c r="B66" i="24"/>
  <c r="G65" i="24"/>
  <c r="N72" i="4"/>
  <c r="N74" i="4"/>
  <c r="N76" i="4"/>
  <c r="P68" i="4"/>
  <c r="AO33" i="22"/>
  <c r="AN37" i="22"/>
  <c r="AP15" i="21"/>
  <c r="F15" i="17"/>
  <c r="AQ33" i="18"/>
  <c r="AP37" i="18"/>
  <c r="AS33" i="23"/>
  <c r="AB21" i="18"/>
  <c r="AA24" i="18"/>
  <c r="AX15" i="20"/>
  <c r="AP15" i="19"/>
  <c r="AP15" i="22"/>
  <c r="AQ15" i="23"/>
  <c r="AA24" i="22"/>
  <c r="AA27" i="22"/>
  <c r="AA30" i="22"/>
  <c r="AB21" i="22"/>
  <c r="AN23" i="18"/>
  <c r="AN23" i="21"/>
  <c r="AO23" i="23"/>
  <c r="BA34" i="13"/>
  <c r="AR23" i="19"/>
  <c r="AS23" i="19"/>
  <c r="AT23" i="19"/>
  <c r="AU23" i="19"/>
  <c r="AV23" i="19"/>
  <c r="AW23" i="19"/>
  <c r="AX23" i="19"/>
  <c r="AY23" i="19"/>
  <c r="AZ23" i="19"/>
  <c r="BA23" i="19"/>
  <c r="AD170" i="8"/>
  <c r="AD68" i="7"/>
  <c r="AD72" i="7"/>
  <c r="AD74" i="7"/>
  <c r="AD76" i="7"/>
  <c r="C68" i="5"/>
  <c r="AB21" i="19"/>
  <c r="AA24" i="19"/>
  <c r="AQ41" i="13"/>
  <c r="AQ41" i="15"/>
  <c r="AB80" i="7"/>
  <c r="AB35" i="22"/>
  <c r="AR33" i="21"/>
  <c r="AQ37" i="21"/>
  <c r="AQ16" i="19"/>
  <c r="AY16" i="20"/>
  <c r="AQ16" i="22"/>
  <c r="AR16" i="23"/>
  <c r="AA35" i="23"/>
  <c r="Z37" i="23"/>
  <c r="C71" i="25"/>
  <c r="AB33" i="13"/>
  <c r="AB37" i="13"/>
  <c r="AB44" i="13"/>
  <c r="AB46" i="13"/>
  <c r="AB50" i="13"/>
  <c r="AC48" i="13"/>
  <c r="AB37" i="16"/>
  <c r="AB44" i="16"/>
  <c r="AB46" i="16"/>
  <c r="AE12" i="19"/>
  <c r="AE10" i="19"/>
  <c r="C71" i="24"/>
  <c r="AP15" i="18"/>
  <c r="K65" i="24"/>
  <c r="J66" i="24"/>
  <c r="K66" i="25"/>
  <c r="J67" i="25"/>
  <c r="AE10" i="21"/>
  <c r="AE12" i="21"/>
  <c r="AE34" i="15"/>
  <c r="AE34" i="16"/>
  <c r="AE34" i="14"/>
  <c r="AE166" i="8"/>
  <c r="AO37" i="19"/>
  <c r="AP33" i="19"/>
  <c r="AD34" i="14"/>
  <c r="AB21" i="20"/>
  <c r="AA24" i="20"/>
  <c r="Z17" i="18"/>
  <c r="Z18" i="18"/>
  <c r="Z27" i="18"/>
  <c r="Z30" i="18"/>
  <c r="Z17" i="21"/>
  <c r="Z17" i="23"/>
  <c r="Z17" i="22"/>
  <c r="AA48" i="16"/>
  <c r="AA50" i="16"/>
  <c r="AC78" i="7"/>
  <c r="AC21" i="23"/>
  <c r="AQ33" i="20"/>
  <c r="AP37" i="20"/>
  <c r="AB21" i="21"/>
  <c r="AA24" i="21"/>
  <c r="AA27" i="21"/>
  <c r="AA30" i="21"/>
  <c r="I64" i="24"/>
  <c r="D65" i="24"/>
  <c r="I65" i="24"/>
  <c r="D66" i="24"/>
  <c r="AE12" i="23"/>
  <c r="AF8" i="23"/>
  <c r="AA17" i="18"/>
  <c r="AA18" i="18"/>
  <c r="AA27" i="18"/>
  <c r="AA30" i="18"/>
  <c r="AA17" i="21"/>
  <c r="AA17" i="23"/>
  <c r="AA17" i="22"/>
  <c r="AB48" i="16"/>
  <c r="AC24" i="23"/>
  <c r="AR16" i="19"/>
  <c r="AZ16" i="20"/>
  <c r="AR16" i="22"/>
  <c r="AS16" i="23"/>
  <c r="AT33" i="23"/>
  <c r="AQ15" i="21"/>
  <c r="P72" i="4"/>
  <c r="P74" i="4"/>
  <c r="P76" i="4"/>
  <c r="E68" i="1"/>
  <c r="E66" i="24"/>
  <c r="AS167" i="8"/>
  <c r="AS69" i="7"/>
  <c r="F69" i="6"/>
  <c r="P69" i="6"/>
  <c r="G69" i="1"/>
  <c r="I69" i="1"/>
  <c r="H66" i="24"/>
  <c r="I66" i="24"/>
  <c r="D67" i="24"/>
  <c r="B67" i="24"/>
  <c r="G66" i="24"/>
  <c r="E68" i="25"/>
  <c r="I68" i="25"/>
  <c r="D69" i="25"/>
  <c r="B69" i="25"/>
  <c r="H68" i="25"/>
  <c r="G68" i="25"/>
  <c r="AP12" i="18"/>
  <c r="AQ8" i="18"/>
  <c r="AP10" i="18"/>
  <c r="AC80" i="7"/>
  <c r="AC35" i="22"/>
  <c r="AD35" i="22"/>
  <c r="Z17" i="19"/>
  <c r="Z18" i="19"/>
  <c r="Z27" i="19"/>
  <c r="Z30" i="19"/>
  <c r="Z17" i="20"/>
  <c r="Z18" i="20"/>
  <c r="Z27" i="20"/>
  <c r="Z30" i="20"/>
  <c r="Z18" i="23"/>
  <c r="Z27" i="23"/>
  <c r="Z30" i="23"/>
  <c r="AC21" i="20"/>
  <c r="AB24" i="20"/>
  <c r="J67" i="24"/>
  <c r="K66" i="24"/>
  <c r="AB50" i="16"/>
  <c r="AR37" i="21"/>
  <c r="AS33" i="21"/>
  <c r="AD33" i="15"/>
  <c r="AD37" i="15"/>
  <c r="AD44" i="15"/>
  <c r="AD46" i="15"/>
  <c r="AD50" i="15"/>
  <c r="AE48" i="15"/>
  <c r="AD33" i="16"/>
  <c r="AD172" i="8"/>
  <c r="AD174" i="8"/>
  <c r="AB35" i="20"/>
  <c r="AC35" i="20"/>
  <c r="AQ15" i="19"/>
  <c r="AY15" i="20"/>
  <c r="AQ15" i="22"/>
  <c r="AR15" i="23"/>
  <c r="AB35" i="21"/>
  <c r="AC35" i="21"/>
  <c r="AR41" i="13"/>
  <c r="AR41" i="15"/>
  <c r="BC41" i="15"/>
  <c r="AF12" i="20"/>
  <c r="AG8" i="20"/>
  <c r="AF10" i="20"/>
  <c r="AQ15" i="18"/>
  <c r="AF8" i="19"/>
  <c r="AF8" i="21"/>
  <c r="AF10" i="23"/>
  <c r="AF12" i="23"/>
  <c r="AG8" i="23"/>
  <c r="C72" i="24"/>
  <c r="AB24" i="19"/>
  <c r="AC21" i="19"/>
  <c r="AO23" i="18"/>
  <c r="AP23" i="23"/>
  <c r="AO23" i="21"/>
  <c r="AC21" i="22"/>
  <c r="AB24" i="22"/>
  <c r="AB27" i="22"/>
  <c r="AB30" i="22"/>
  <c r="AC21" i="18"/>
  <c r="AB24" i="18"/>
  <c r="AB35" i="18"/>
  <c r="AC35" i="18"/>
  <c r="AQ37" i="20"/>
  <c r="AR33" i="20"/>
  <c r="AQ33" i="19"/>
  <c r="AP37" i="19"/>
  <c r="C72" i="25"/>
  <c r="AD78" i="7"/>
  <c r="AD21" i="23"/>
  <c r="AD80" i="7"/>
  <c r="AQ37" i="18"/>
  <c r="AR33" i="18"/>
  <c r="AC21" i="21"/>
  <c r="AB24" i="21"/>
  <c r="AB27" i="21"/>
  <c r="AB30" i="21"/>
  <c r="AE68" i="7"/>
  <c r="AE72" i="7"/>
  <c r="AE74" i="7"/>
  <c r="AE76" i="7"/>
  <c r="AE170" i="8"/>
  <c r="D68" i="5"/>
  <c r="D72" i="5"/>
  <c r="D74" i="5"/>
  <c r="D76" i="5"/>
  <c r="K67" i="25"/>
  <c r="J68" i="25"/>
  <c r="AB35" i="23"/>
  <c r="AA37" i="23"/>
  <c r="C72" i="5"/>
  <c r="C74" i="5"/>
  <c r="C76" i="5"/>
  <c r="AO37" i="22"/>
  <c r="AP33" i="22"/>
  <c r="AC33" i="13"/>
  <c r="AC37" i="16"/>
  <c r="AC44" i="16"/>
  <c r="AC46" i="16"/>
  <c r="AG8" i="19"/>
  <c r="AG8" i="21"/>
  <c r="AG10" i="23"/>
  <c r="AD24" i="23"/>
  <c r="AR15" i="18"/>
  <c r="AR15" i="19"/>
  <c r="AZ15" i="20"/>
  <c r="AR15" i="22"/>
  <c r="AS15" i="23"/>
  <c r="AS37" i="21"/>
  <c r="AT33" i="21"/>
  <c r="K67" i="24"/>
  <c r="J68" i="24"/>
  <c r="AQ10" i="18"/>
  <c r="AQ12" i="18"/>
  <c r="AR8" i="18"/>
  <c r="AD21" i="21"/>
  <c r="AC24" i="21"/>
  <c r="AC27" i="21"/>
  <c r="AC30" i="21"/>
  <c r="AR33" i="19"/>
  <c r="AQ37" i="19"/>
  <c r="C73" i="24"/>
  <c r="AF10" i="19"/>
  <c r="AF12" i="19"/>
  <c r="AC35" i="19"/>
  <c r="AD35" i="19"/>
  <c r="AS16" i="19"/>
  <c r="BA16" i="20"/>
  <c r="AT16" i="23"/>
  <c r="AS16" i="22"/>
  <c r="AA17" i="20"/>
  <c r="AA18" i="20"/>
  <c r="AA27" i="20"/>
  <c r="AA30" i="20"/>
  <c r="AA17" i="19"/>
  <c r="AA18" i="19"/>
  <c r="AA27" i="19"/>
  <c r="AA30" i="19"/>
  <c r="AA18" i="23"/>
  <c r="AA27" i="23"/>
  <c r="AA30" i="23"/>
  <c r="AD35" i="18"/>
  <c r="AD35" i="20"/>
  <c r="E35" i="17"/>
  <c r="E37" i="17"/>
  <c r="AR15" i="21"/>
  <c r="AC35" i="23"/>
  <c r="AB37" i="23"/>
  <c r="BA33" i="13"/>
  <c r="BA37" i="13"/>
  <c r="BA44" i="13"/>
  <c r="BA46" i="13"/>
  <c r="BA50" i="13"/>
  <c r="AD48" i="14"/>
  <c r="BC48" i="14"/>
  <c r="AC37" i="13"/>
  <c r="AC44" i="13"/>
  <c r="AC46" i="13"/>
  <c r="AC50" i="13"/>
  <c r="J69" i="25"/>
  <c r="K68" i="25"/>
  <c r="AE33" i="15"/>
  <c r="AE37" i="15"/>
  <c r="AE44" i="15"/>
  <c r="AE46" i="15"/>
  <c r="AE50" i="15"/>
  <c r="AF48" i="15"/>
  <c r="AE33" i="16"/>
  <c r="AE172" i="8"/>
  <c r="AE174" i="8"/>
  <c r="AS33" i="18"/>
  <c r="AR37" i="18"/>
  <c r="C73" i="25"/>
  <c r="AR37" i="20"/>
  <c r="AS33" i="20"/>
  <c r="AD21" i="22"/>
  <c r="AC24" i="22"/>
  <c r="AC27" i="22"/>
  <c r="AC30" i="22"/>
  <c r="AC24" i="19"/>
  <c r="AD21" i="19"/>
  <c r="AD35" i="21"/>
  <c r="AD33" i="14"/>
  <c r="AD37" i="16"/>
  <c r="AD44" i="16"/>
  <c r="AD46" i="16"/>
  <c r="AB17" i="18"/>
  <c r="AB18" i="18"/>
  <c r="AB27" i="18"/>
  <c r="AB30" i="18"/>
  <c r="AB17" i="21"/>
  <c r="AB17" i="22"/>
  <c r="AB17" i="23"/>
  <c r="AC48" i="16"/>
  <c r="AC50" i="16"/>
  <c r="AD21" i="20"/>
  <c r="AC24" i="20"/>
  <c r="E21" i="17"/>
  <c r="E24" i="17"/>
  <c r="E72" i="1"/>
  <c r="E74" i="1"/>
  <c r="E76" i="1"/>
  <c r="AU33" i="23"/>
  <c r="AP23" i="18"/>
  <c r="AP23" i="22"/>
  <c r="AQ23" i="23"/>
  <c r="AP37" i="22"/>
  <c r="AQ33" i="22"/>
  <c r="AE78" i="7"/>
  <c r="AE80" i="7"/>
  <c r="AE35" i="22"/>
  <c r="AD21" i="18"/>
  <c r="AC24" i="18"/>
  <c r="F23" i="17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AF10" i="21"/>
  <c r="AF12" i="21"/>
  <c r="AF34" i="16"/>
  <c r="AD34" i="13"/>
  <c r="AF34" i="15"/>
  <c r="AF166" i="8"/>
  <c r="AG10" i="20"/>
  <c r="AG12" i="20"/>
  <c r="AH8" i="20"/>
  <c r="H69" i="25"/>
  <c r="B70" i="25"/>
  <c r="E69" i="25"/>
  <c r="I69" i="25"/>
  <c r="D70" i="25"/>
  <c r="G69" i="25"/>
  <c r="H67" i="24"/>
  <c r="B68" i="24"/>
  <c r="E67" i="24"/>
  <c r="I67" i="24"/>
  <c r="D68" i="24"/>
  <c r="G67" i="24"/>
  <c r="AH10" i="20"/>
  <c r="AH12" i="20"/>
  <c r="AI8" i="20"/>
  <c r="AC17" i="18"/>
  <c r="AC18" i="18"/>
  <c r="AC27" i="18"/>
  <c r="AC30" i="18"/>
  <c r="AC17" i="21"/>
  <c r="AC17" i="22"/>
  <c r="AC17" i="23"/>
  <c r="AD48" i="16"/>
  <c r="AD50" i="16"/>
  <c r="AR10" i="18"/>
  <c r="AR12" i="18"/>
  <c r="AS8" i="18"/>
  <c r="AE35" i="19"/>
  <c r="K68" i="24"/>
  <c r="J69" i="24"/>
  <c r="K69" i="25"/>
  <c r="J70" i="25"/>
  <c r="AD35" i="23"/>
  <c r="AC37" i="23"/>
  <c r="AT16" i="19"/>
  <c r="AU16" i="23"/>
  <c r="AT16" i="22"/>
  <c r="AE21" i="21"/>
  <c r="AD24" i="21"/>
  <c r="AS15" i="18"/>
  <c r="AE21" i="23"/>
  <c r="AQ23" i="18"/>
  <c r="AR23" i="23"/>
  <c r="AQ23" i="22"/>
  <c r="AT33" i="18"/>
  <c r="AS37" i="18"/>
  <c r="AE35" i="18"/>
  <c r="BA15" i="20"/>
  <c r="AS15" i="19"/>
  <c r="AT15" i="23"/>
  <c r="AS15" i="22"/>
  <c r="AE34" i="13"/>
  <c r="AG10" i="21"/>
  <c r="AG12" i="21"/>
  <c r="AG34" i="15"/>
  <c r="AG34" i="16"/>
  <c r="AG34" i="14"/>
  <c r="AG166" i="8"/>
  <c r="H68" i="24"/>
  <c r="B69" i="24"/>
  <c r="E68" i="24"/>
  <c r="I68" i="24"/>
  <c r="D69" i="24"/>
  <c r="G68" i="24"/>
  <c r="H70" i="25"/>
  <c r="B71" i="25"/>
  <c r="E70" i="25"/>
  <c r="I70" i="25"/>
  <c r="D71" i="25"/>
  <c r="G70" i="25"/>
  <c r="AF34" i="14"/>
  <c r="AR33" i="22"/>
  <c r="AQ37" i="22"/>
  <c r="E78" i="1"/>
  <c r="AE35" i="21"/>
  <c r="AE21" i="22"/>
  <c r="AD24" i="22"/>
  <c r="AD27" i="22"/>
  <c r="AD30" i="22"/>
  <c r="C74" i="25"/>
  <c r="AE33" i="14"/>
  <c r="AE37" i="14"/>
  <c r="AE44" i="14"/>
  <c r="AE46" i="14"/>
  <c r="AE37" i="16"/>
  <c r="AE44" i="16"/>
  <c r="AE46" i="16"/>
  <c r="AE35" i="20"/>
  <c r="AU33" i="21"/>
  <c r="AT37" i="21"/>
  <c r="AG12" i="23"/>
  <c r="AH8" i="23"/>
  <c r="AD37" i="14"/>
  <c r="AD44" i="14"/>
  <c r="AD46" i="14"/>
  <c r="AS15" i="21"/>
  <c r="C74" i="24"/>
  <c r="AE21" i="20"/>
  <c r="AD24" i="20"/>
  <c r="E68" i="5"/>
  <c r="AF68" i="7"/>
  <c r="AF72" i="7"/>
  <c r="AF74" i="7"/>
  <c r="AF76" i="7"/>
  <c r="AF170" i="8"/>
  <c r="AD24" i="18"/>
  <c r="AE21" i="18"/>
  <c r="AV33" i="23"/>
  <c r="AB17" i="20"/>
  <c r="AB18" i="20"/>
  <c r="AB27" i="20"/>
  <c r="AB30" i="20"/>
  <c r="AB17" i="19"/>
  <c r="AB18" i="19"/>
  <c r="AB27" i="19"/>
  <c r="AB30" i="19"/>
  <c r="AB18" i="23"/>
  <c r="AB27" i="23"/>
  <c r="AB30" i="23"/>
  <c r="AE21" i="19"/>
  <c r="AD24" i="19"/>
  <c r="AT33" i="20"/>
  <c r="AS37" i="20"/>
  <c r="AS33" i="19"/>
  <c r="AR37" i="19"/>
  <c r="AG10" i="19"/>
  <c r="AG12" i="19"/>
  <c r="AS10" i="18"/>
  <c r="AS12" i="18"/>
  <c r="AT8" i="18"/>
  <c r="I71" i="25"/>
  <c r="D72" i="25"/>
  <c r="AD17" i="18"/>
  <c r="AD18" i="18"/>
  <c r="AD27" i="18"/>
  <c r="AD30" i="18"/>
  <c r="AD17" i="22"/>
  <c r="AD17" i="23"/>
  <c r="AE48" i="16"/>
  <c r="AE50" i="16"/>
  <c r="AI10" i="20"/>
  <c r="AI12" i="20"/>
  <c r="AJ8" i="20"/>
  <c r="AE24" i="18"/>
  <c r="AE24" i="19"/>
  <c r="D63" i="13"/>
  <c r="D63" i="15"/>
  <c r="D63" i="14"/>
  <c r="D63" i="16"/>
  <c r="E71" i="25"/>
  <c r="B72" i="25"/>
  <c r="H71" i="25"/>
  <c r="G71" i="25"/>
  <c r="E69" i="24"/>
  <c r="I69" i="24"/>
  <c r="D70" i="24"/>
  <c r="B70" i="24"/>
  <c r="H69" i="24"/>
  <c r="G69" i="24"/>
  <c r="AR23" i="18"/>
  <c r="AR23" i="22"/>
  <c r="AS23" i="23"/>
  <c r="AT15" i="18"/>
  <c r="AE24" i="21"/>
  <c r="K69" i="24"/>
  <c r="J70" i="24"/>
  <c r="AC17" i="19"/>
  <c r="AC18" i="19"/>
  <c r="AC27" i="19"/>
  <c r="AC30" i="19"/>
  <c r="AC17" i="20"/>
  <c r="AC18" i="23"/>
  <c r="AC27" i="23"/>
  <c r="AC30" i="23"/>
  <c r="E72" i="5"/>
  <c r="E74" i="5"/>
  <c r="E76" i="5"/>
  <c r="AD50" i="14"/>
  <c r="AE48" i="14"/>
  <c r="AS37" i="19"/>
  <c r="AT33" i="19"/>
  <c r="AD33" i="13"/>
  <c r="AD37" i="13"/>
  <c r="AD44" i="13"/>
  <c r="AD46" i="13"/>
  <c r="AD50" i="13"/>
  <c r="AE48" i="13"/>
  <c r="AF33" i="15"/>
  <c r="AF37" i="15"/>
  <c r="AF44" i="15"/>
  <c r="AF46" i="15"/>
  <c r="AF50" i="15"/>
  <c r="AG48" i="15"/>
  <c r="AF33" i="16"/>
  <c r="AF172" i="8"/>
  <c r="AF174" i="8"/>
  <c r="AE24" i="20"/>
  <c r="AH8" i="19"/>
  <c r="AH8" i="21"/>
  <c r="AH12" i="23"/>
  <c r="AI8" i="23"/>
  <c r="AH10" i="23"/>
  <c r="E80" i="1"/>
  <c r="AT15" i="19"/>
  <c r="AT15" i="22"/>
  <c r="AU15" i="23"/>
  <c r="AE35" i="23"/>
  <c r="AD37" i="23"/>
  <c r="AV33" i="21"/>
  <c r="AU37" i="21"/>
  <c r="AS33" i="22"/>
  <c r="AR37" i="22"/>
  <c r="AE24" i="23"/>
  <c r="AF21" i="23"/>
  <c r="AU33" i="20"/>
  <c r="AT37" i="20"/>
  <c r="AW33" i="23"/>
  <c r="AF80" i="7"/>
  <c r="AF35" i="22"/>
  <c r="AF78" i="7"/>
  <c r="AF21" i="19"/>
  <c r="AT15" i="21"/>
  <c r="AE50" i="14"/>
  <c r="AF48" i="14"/>
  <c r="AF21" i="22"/>
  <c r="AE24" i="22"/>
  <c r="AE27" i="22"/>
  <c r="AE30" i="22"/>
  <c r="F68" i="5"/>
  <c r="F72" i="5"/>
  <c r="F74" i="5"/>
  <c r="F76" i="5"/>
  <c r="AG170" i="8"/>
  <c r="AG68" i="7"/>
  <c r="AG72" i="7"/>
  <c r="AG74" i="7"/>
  <c r="AG76" i="7"/>
  <c r="AU33" i="18"/>
  <c r="AT37" i="18"/>
  <c r="AU16" i="19"/>
  <c r="AU16" i="22"/>
  <c r="AV16" i="23"/>
  <c r="K70" i="25"/>
  <c r="J71" i="25"/>
  <c r="AJ10" i="20"/>
  <c r="AJ12" i="20"/>
  <c r="AK8" i="20"/>
  <c r="AE17" i="18"/>
  <c r="AE18" i="18"/>
  <c r="AE27" i="18"/>
  <c r="AE30" i="18"/>
  <c r="AE17" i="23"/>
  <c r="AE17" i="22"/>
  <c r="AF48" i="16"/>
  <c r="AF24" i="19"/>
  <c r="AI8" i="21"/>
  <c r="AI8" i="19"/>
  <c r="AI10" i="23"/>
  <c r="AI12" i="23"/>
  <c r="AJ8" i="23"/>
  <c r="F64" i="13"/>
  <c r="AQ40" i="13"/>
  <c r="G63" i="13"/>
  <c r="E64" i="13"/>
  <c r="I63" i="13"/>
  <c r="AK40" i="13"/>
  <c r="J63" i="13"/>
  <c r="C64" i="13"/>
  <c r="AU37" i="18"/>
  <c r="AV33" i="18"/>
  <c r="AF35" i="20"/>
  <c r="AF21" i="21"/>
  <c r="F64" i="16"/>
  <c r="AS40" i="16"/>
  <c r="AS40" i="15"/>
  <c r="G63" i="16"/>
  <c r="E64" i="16"/>
  <c r="I63" i="16"/>
  <c r="AM40" i="16"/>
  <c r="AM40" i="14"/>
  <c r="AF21" i="18"/>
  <c r="AD17" i="19"/>
  <c r="AD18" i="19"/>
  <c r="AD27" i="19"/>
  <c r="AD30" i="19"/>
  <c r="AD17" i="21"/>
  <c r="AD18" i="21"/>
  <c r="AD27" i="21"/>
  <c r="AD30" i="21"/>
  <c r="AD17" i="20"/>
  <c r="AD18" i="20"/>
  <c r="AD27" i="20"/>
  <c r="AD30" i="20"/>
  <c r="AD18" i="23"/>
  <c r="AD27" i="23"/>
  <c r="AD30" i="23"/>
  <c r="AT10" i="18"/>
  <c r="AT12" i="18"/>
  <c r="AU8" i="18"/>
  <c r="AE33" i="13"/>
  <c r="AE37" i="13"/>
  <c r="AE44" i="13"/>
  <c r="AE46" i="13"/>
  <c r="AE50" i="13"/>
  <c r="AF48" i="13"/>
  <c r="AG33" i="16"/>
  <c r="AG33" i="15"/>
  <c r="AG37" i="15"/>
  <c r="AG44" i="15"/>
  <c r="AG46" i="15"/>
  <c r="AG50" i="15"/>
  <c r="AH48" i="15"/>
  <c r="AG172" i="8"/>
  <c r="AG174" i="8"/>
  <c r="AV33" i="20"/>
  <c r="AU37" i="20"/>
  <c r="E17" i="17"/>
  <c r="E18" i="17"/>
  <c r="E27" i="17"/>
  <c r="E30" i="17"/>
  <c r="AC18" i="20"/>
  <c r="AC27" i="20"/>
  <c r="AC30" i="20"/>
  <c r="AS23" i="18"/>
  <c r="AS23" i="22"/>
  <c r="AT23" i="23"/>
  <c r="AF24" i="23"/>
  <c r="AT33" i="22"/>
  <c r="AS37" i="22"/>
  <c r="AF35" i="19"/>
  <c r="AU15" i="21"/>
  <c r="AX33" i="23"/>
  <c r="AF35" i="23"/>
  <c r="AE37" i="23"/>
  <c r="AH10" i="19"/>
  <c r="AH12" i="19"/>
  <c r="AF33" i="14"/>
  <c r="AF37" i="16"/>
  <c r="AF44" i="16"/>
  <c r="AF46" i="16"/>
  <c r="AF50" i="16"/>
  <c r="AU33" i="19"/>
  <c r="AT37" i="19"/>
  <c r="AF35" i="21"/>
  <c r="K70" i="24"/>
  <c r="J71" i="24"/>
  <c r="E70" i="24"/>
  <c r="I70" i="24"/>
  <c r="D71" i="24"/>
  <c r="B71" i="24"/>
  <c r="H70" i="24"/>
  <c r="G70" i="24"/>
  <c r="E72" i="25"/>
  <c r="H72" i="25"/>
  <c r="I72" i="25"/>
  <c r="D73" i="25"/>
  <c r="B73" i="25"/>
  <c r="G72" i="25"/>
  <c r="F64" i="14"/>
  <c r="AS40" i="14"/>
  <c r="G63" i="14"/>
  <c r="L63" i="14"/>
  <c r="I63" i="14"/>
  <c r="E64" i="14"/>
  <c r="AU15" i="19"/>
  <c r="AU15" i="22"/>
  <c r="AV15" i="23"/>
  <c r="AV16" i="19"/>
  <c r="AV16" i="22"/>
  <c r="AW16" i="23"/>
  <c r="K71" i="25"/>
  <c r="J72" i="25"/>
  <c r="AG78" i="7"/>
  <c r="AG21" i="19"/>
  <c r="AG21" i="22"/>
  <c r="AF24" i="22"/>
  <c r="AF27" i="22"/>
  <c r="AF30" i="22"/>
  <c r="AW33" i="21"/>
  <c r="AV37" i="21"/>
  <c r="AH10" i="21"/>
  <c r="AH12" i="21"/>
  <c r="AF34" i="13"/>
  <c r="AH34" i="15"/>
  <c r="AH34" i="16"/>
  <c r="AH34" i="14"/>
  <c r="AH166" i="8"/>
  <c r="AF21" i="20"/>
  <c r="AU15" i="18"/>
  <c r="AF35" i="18"/>
  <c r="F64" i="15"/>
  <c r="G63" i="15"/>
  <c r="I63" i="15"/>
  <c r="AM40" i="15"/>
  <c r="E64" i="15"/>
  <c r="J63" i="15"/>
  <c r="C64" i="15"/>
  <c r="AU10" i="18"/>
  <c r="AU12" i="18"/>
  <c r="AV8" i="18"/>
  <c r="AG24" i="19"/>
  <c r="AJ8" i="19"/>
  <c r="AJ10" i="23"/>
  <c r="AJ8" i="21"/>
  <c r="AK10" i="20"/>
  <c r="AK12" i="20"/>
  <c r="AL8" i="20"/>
  <c r="H71" i="24"/>
  <c r="B72" i="24"/>
  <c r="E71" i="24"/>
  <c r="I71" i="24"/>
  <c r="D72" i="24"/>
  <c r="G71" i="24"/>
  <c r="AF37" i="14"/>
  <c r="AF44" i="14"/>
  <c r="AF46" i="14"/>
  <c r="AW33" i="18"/>
  <c r="AV37" i="18"/>
  <c r="AG80" i="7"/>
  <c r="AG35" i="22"/>
  <c r="AW16" i="19"/>
  <c r="AW16" i="22"/>
  <c r="AX16" i="23"/>
  <c r="AV15" i="19"/>
  <c r="AV15" i="22"/>
  <c r="AW15" i="23"/>
  <c r="J63" i="14"/>
  <c r="C64" i="14"/>
  <c r="AG35" i="23"/>
  <c r="AF37" i="23"/>
  <c r="AV15" i="21"/>
  <c r="AT37" i="22"/>
  <c r="AU33" i="22"/>
  <c r="AT23" i="18"/>
  <c r="AT23" i="22"/>
  <c r="AU23" i="23"/>
  <c r="AP40" i="16"/>
  <c r="AP40" i="15"/>
  <c r="AH40" i="13"/>
  <c r="L63" i="13"/>
  <c r="AH170" i="8"/>
  <c r="G68" i="5"/>
  <c r="AH68" i="7"/>
  <c r="AH72" i="7"/>
  <c r="AH74" i="7"/>
  <c r="AH76" i="7"/>
  <c r="AG24" i="22"/>
  <c r="AG27" i="22"/>
  <c r="AG30" i="22"/>
  <c r="AG35" i="21"/>
  <c r="AG21" i="21"/>
  <c r="AF24" i="21"/>
  <c r="AN40" i="13"/>
  <c r="AI10" i="19"/>
  <c r="AI12" i="19"/>
  <c r="AJ40" i="15"/>
  <c r="L63" i="15"/>
  <c r="AV15" i="18"/>
  <c r="AW37" i="21"/>
  <c r="AX33" i="21"/>
  <c r="AP40" i="14"/>
  <c r="K71" i="24"/>
  <c r="J72" i="24"/>
  <c r="AV33" i="19"/>
  <c r="AU37" i="19"/>
  <c r="AG35" i="19"/>
  <c r="AG33" i="14"/>
  <c r="AG37" i="14"/>
  <c r="AG44" i="14"/>
  <c r="AG46" i="14"/>
  <c r="AG37" i="16"/>
  <c r="AG44" i="16"/>
  <c r="AG46" i="16"/>
  <c r="AG50" i="16"/>
  <c r="AF24" i="18"/>
  <c r="AG21" i="18"/>
  <c r="AJ40" i="16"/>
  <c r="AJ40" i="14"/>
  <c r="BC40" i="14"/>
  <c r="L63" i="16"/>
  <c r="AG35" i="20"/>
  <c r="AI12" i="21"/>
  <c r="AG21" i="20"/>
  <c r="AF24" i="20"/>
  <c r="K72" i="25"/>
  <c r="J73" i="25"/>
  <c r="H73" i="25"/>
  <c r="B74" i="25"/>
  <c r="E73" i="25"/>
  <c r="I73" i="25"/>
  <c r="D74" i="25"/>
  <c r="G73" i="25"/>
  <c r="AF17" i="18"/>
  <c r="AF18" i="18"/>
  <c r="AF27" i="18"/>
  <c r="AF30" i="18"/>
  <c r="AF17" i="22"/>
  <c r="AF17" i="23"/>
  <c r="AG48" i="16"/>
  <c r="AY33" i="23"/>
  <c r="AG21" i="23"/>
  <c r="AV37" i="20"/>
  <c r="AW33" i="20"/>
  <c r="J63" i="16"/>
  <c r="C64" i="16"/>
  <c r="AI10" i="21"/>
  <c r="AI34" i="15"/>
  <c r="AG34" i="13"/>
  <c r="AI166" i="8"/>
  <c r="AI34" i="16"/>
  <c r="AE17" i="20"/>
  <c r="AE18" i="20"/>
  <c r="AE27" i="20"/>
  <c r="AE30" i="20"/>
  <c r="AE17" i="19"/>
  <c r="AE18" i="19"/>
  <c r="AE27" i="19"/>
  <c r="AE30" i="19"/>
  <c r="AE17" i="21"/>
  <c r="AE18" i="21"/>
  <c r="AE27" i="21"/>
  <c r="AE30" i="21"/>
  <c r="AE18" i="23"/>
  <c r="AE27" i="23"/>
  <c r="AE30" i="23"/>
  <c r="AL10" i="20"/>
  <c r="AL12" i="20"/>
  <c r="AM8" i="20"/>
  <c r="AV10" i="18"/>
  <c r="AV12" i="18"/>
  <c r="AW8" i="18"/>
  <c r="AX33" i="20"/>
  <c r="AW37" i="20"/>
  <c r="K72" i="24"/>
  <c r="J73" i="24"/>
  <c r="AU23" i="18"/>
  <c r="AV23" i="23"/>
  <c r="AU23" i="22"/>
  <c r="AG37" i="23"/>
  <c r="AH21" i="20"/>
  <c r="AG24" i="20"/>
  <c r="AG24" i="18"/>
  <c r="AY33" i="21"/>
  <c r="AX37" i="21"/>
  <c r="AW15" i="18"/>
  <c r="AG24" i="21"/>
  <c r="AH78" i="7"/>
  <c r="AH80" i="7"/>
  <c r="AH35" i="22"/>
  <c r="AW15" i="21"/>
  <c r="AF50" i="14"/>
  <c r="AG48" i="14"/>
  <c r="H72" i="24"/>
  <c r="I72" i="24"/>
  <c r="D73" i="24"/>
  <c r="B73" i="24"/>
  <c r="E72" i="24"/>
  <c r="G72" i="24"/>
  <c r="AJ12" i="19"/>
  <c r="AJ10" i="19"/>
  <c r="AG50" i="14"/>
  <c r="AH48" i="14"/>
  <c r="AX33" i="18"/>
  <c r="AW37" i="18"/>
  <c r="AJ10" i="21"/>
  <c r="AH34" i="13"/>
  <c r="AJ34" i="16"/>
  <c r="AJ34" i="14"/>
  <c r="AJ34" i="15"/>
  <c r="AJ166" i="8"/>
  <c r="AI34" i="14"/>
  <c r="AH21" i="23"/>
  <c r="AG24" i="23"/>
  <c r="AF17" i="19"/>
  <c r="AF18" i="19"/>
  <c r="AF27" i="19"/>
  <c r="AF30" i="19"/>
  <c r="AF17" i="20"/>
  <c r="AF18" i="20"/>
  <c r="AF27" i="20"/>
  <c r="AF30" i="20"/>
  <c r="AF17" i="21"/>
  <c r="AF18" i="21"/>
  <c r="AF27" i="21"/>
  <c r="AF30" i="21"/>
  <c r="AF18" i="23"/>
  <c r="AF27" i="23"/>
  <c r="AF30" i="23"/>
  <c r="J74" i="25"/>
  <c r="K74" i="25"/>
  <c r="K73" i="25"/>
  <c r="G72" i="5"/>
  <c r="G74" i="5"/>
  <c r="G76" i="5"/>
  <c r="AX16" i="19"/>
  <c r="AY16" i="23"/>
  <c r="AX16" i="22"/>
  <c r="AJ12" i="23"/>
  <c r="AK8" i="23"/>
  <c r="AI68" i="7"/>
  <c r="AI72" i="7"/>
  <c r="AI74" i="7"/>
  <c r="AI76" i="7"/>
  <c r="AI170" i="8"/>
  <c r="H68" i="5"/>
  <c r="H72" i="5"/>
  <c r="H74" i="5"/>
  <c r="H76" i="5"/>
  <c r="AZ33" i="23"/>
  <c r="H74" i="25"/>
  <c r="H76" i="25"/>
  <c r="E74" i="25"/>
  <c r="E76" i="25"/>
  <c r="G29" i="25"/>
  <c r="G76" i="25"/>
  <c r="G74" i="25"/>
  <c r="AG17" i="18"/>
  <c r="AG18" i="18"/>
  <c r="AG27" i="18"/>
  <c r="AG30" i="18"/>
  <c r="AG17" i="22"/>
  <c r="AG17" i="23"/>
  <c r="AH48" i="16"/>
  <c r="AV37" i="19"/>
  <c r="AW33" i="19"/>
  <c r="AH33" i="15"/>
  <c r="AH37" i="15"/>
  <c r="AH44" i="15"/>
  <c r="AH46" i="15"/>
  <c r="AH50" i="15"/>
  <c r="AI48" i="15"/>
  <c r="AF33" i="13"/>
  <c r="AF37" i="13"/>
  <c r="AF44" i="13"/>
  <c r="AF46" i="13"/>
  <c r="AF50" i="13"/>
  <c r="AG48" i="13"/>
  <c r="AH33" i="16"/>
  <c r="AH172" i="8"/>
  <c r="AH174" i="8"/>
  <c r="AV33" i="22"/>
  <c r="AU37" i="22"/>
  <c r="AW15" i="19"/>
  <c r="AX15" i="23"/>
  <c r="AW15" i="22"/>
  <c r="AG35" i="18"/>
  <c r="AH35" i="18"/>
  <c r="AJ12" i="21"/>
  <c r="AW10" i="18"/>
  <c r="AW12" i="18"/>
  <c r="AX8" i="18"/>
  <c r="AM10" i="20"/>
  <c r="AM12" i="20"/>
  <c r="AN8" i="20"/>
  <c r="AW37" i="19"/>
  <c r="AX33" i="19"/>
  <c r="AY33" i="18"/>
  <c r="AX37" i="18"/>
  <c r="AV23" i="18"/>
  <c r="AV23" i="22"/>
  <c r="AW23" i="23"/>
  <c r="AH21" i="22"/>
  <c r="AH21" i="19"/>
  <c r="AX15" i="18"/>
  <c r="AY33" i="20"/>
  <c r="AX37" i="20"/>
  <c r="AH24" i="20"/>
  <c r="AH33" i="14"/>
  <c r="AH37" i="16"/>
  <c r="AH44" i="16"/>
  <c r="AH46" i="16"/>
  <c r="AH50" i="16"/>
  <c r="AG33" i="13"/>
  <c r="AG37" i="13"/>
  <c r="AG44" i="13"/>
  <c r="AG46" i="13"/>
  <c r="AG50" i="13"/>
  <c r="AH48" i="13"/>
  <c r="AI33" i="15"/>
  <c r="AI37" i="15"/>
  <c r="AI44" i="15"/>
  <c r="AI46" i="15"/>
  <c r="AI50" i="15"/>
  <c r="AJ48" i="15"/>
  <c r="AI33" i="16"/>
  <c r="AI172" i="8"/>
  <c r="AI174" i="8"/>
  <c r="AW33" i="22"/>
  <c r="AV37" i="22"/>
  <c r="BA33" i="23"/>
  <c r="AI80" i="7"/>
  <c r="AI35" i="22"/>
  <c r="AI78" i="7"/>
  <c r="AI21" i="20"/>
  <c r="AY16" i="19"/>
  <c r="AY16" i="22"/>
  <c r="AZ16" i="23"/>
  <c r="AH35" i="21"/>
  <c r="I68" i="5"/>
  <c r="I72" i="5"/>
  <c r="I74" i="5"/>
  <c r="I76" i="5"/>
  <c r="AJ68" i="7"/>
  <c r="AJ72" i="7"/>
  <c r="AJ74" i="7"/>
  <c r="AJ76" i="7"/>
  <c r="AJ170" i="8"/>
  <c r="AH21" i="18"/>
  <c r="AH35" i="23"/>
  <c r="K73" i="24"/>
  <c r="J74" i="24"/>
  <c r="K74" i="24"/>
  <c r="AH35" i="19"/>
  <c r="AI35" i="19"/>
  <c r="AX15" i="19"/>
  <c r="AX15" i="22"/>
  <c r="AY15" i="23"/>
  <c r="AG17" i="19"/>
  <c r="AG18" i="19"/>
  <c r="AG27" i="19"/>
  <c r="AG30" i="19"/>
  <c r="AG17" i="20"/>
  <c r="AG18" i="20"/>
  <c r="AG27" i="20"/>
  <c r="AG30" i="20"/>
  <c r="AG17" i="21"/>
  <c r="AG18" i="21"/>
  <c r="AG27" i="21"/>
  <c r="AG30" i="21"/>
  <c r="AG18" i="23"/>
  <c r="AG27" i="23"/>
  <c r="AG30" i="23"/>
  <c r="AK8" i="19"/>
  <c r="AK12" i="23"/>
  <c r="AL8" i="23"/>
  <c r="AK10" i="23"/>
  <c r="AK8" i="21"/>
  <c r="AH35" i="20"/>
  <c r="AI35" i="20"/>
  <c r="AI21" i="23"/>
  <c r="AH24" i="23"/>
  <c r="E73" i="24"/>
  <c r="I73" i="24"/>
  <c r="D74" i="24"/>
  <c r="H73" i="24"/>
  <c r="B74" i="24"/>
  <c r="G73" i="24"/>
  <c r="AX15" i="21"/>
  <c r="AH21" i="21"/>
  <c r="AZ33" i="21"/>
  <c r="AY37" i="21"/>
  <c r="I74" i="25"/>
  <c r="AN10" i="20"/>
  <c r="AN12" i="20"/>
  <c r="AO8" i="20"/>
  <c r="AI24" i="20"/>
  <c r="AH17" i="18"/>
  <c r="AH18" i="18"/>
  <c r="AH17" i="23"/>
  <c r="AI48" i="16"/>
  <c r="AH17" i="22"/>
  <c r="AX10" i="18"/>
  <c r="AX12" i="18"/>
  <c r="AY8" i="18"/>
  <c r="AY15" i="21"/>
  <c r="AK10" i="19"/>
  <c r="AK12" i="19"/>
  <c r="AI35" i="23"/>
  <c r="AH37" i="23"/>
  <c r="AI33" i="14"/>
  <c r="AI37" i="14"/>
  <c r="AI44" i="14"/>
  <c r="AI46" i="14"/>
  <c r="AI37" i="16"/>
  <c r="AI44" i="16"/>
  <c r="AI46" i="16"/>
  <c r="AI50" i="16"/>
  <c r="AH37" i="14"/>
  <c r="AH44" i="14"/>
  <c r="AH46" i="14"/>
  <c r="AY37" i="20"/>
  <c r="AZ33" i="20"/>
  <c r="AI21" i="22"/>
  <c r="AH24" i="22"/>
  <c r="AH27" i="22"/>
  <c r="AH30" i="22"/>
  <c r="AI35" i="18"/>
  <c r="AI24" i="23"/>
  <c r="AL8" i="19"/>
  <c r="AL8" i="21"/>
  <c r="AL10" i="23"/>
  <c r="AI21" i="19"/>
  <c r="AH24" i="19"/>
  <c r="AZ37" i="21"/>
  <c r="BA33" i="21"/>
  <c r="BA37" i="21"/>
  <c r="AI21" i="18"/>
  <c r="AH24" i="18"/>
  <c r="AI35" i="21"/>
  <c r="AY15" i="18"/>
  <c r="AW23" i="18"/>
  <c r="AW23" i="22"/>
  <c r="AX23" i="23"/>
  <c r="AY37" i="18"/>
  <c r="AZ33" i="18"/>
  <c r="AJ78" i="7"/>
  <c r="AJ80" i="7"/>
  <c r="AI21" i="21"/>
  <c r="AH24" i="21"/>
  <c r="E74" i="24"/>
  <c r="E76" i="24"/>
  <c r="G50" i="24"/>
  <c r="H74" i="24"/>
  <c r="H76" i="24"/>
  <c r="G74" i="24"/>
  <c r="AK10" i="21"/>
  <c r="AK12" i="21"/>
  <c r="AI34" i="13"/>
  <c r="AK34" i="16"/>
  <c r="AK34" i="14"/>
  <c r="AK166" i="8"/>
  <c r="AK34" i="15"/>
  <c r="AY15" i="19"/>
  <c r="AY15" i="22"/>
  <c r="AZ15" i="23"/>
  <c r="AH33" i="13"/>
  <c r="AH37" i="13"/>
  <c r="AH44" i="13"/>
  <c r="AH46" i="13"/>
  <c r="AH50" i="13"/>
  <c r="AI48" i="13"/>
  <c r="AJ33" i="16"/>
  <c r="AJ33" i="15"/>
  <c r="AJ37" i="15"/>
  <c r="AJ44" i="15"/>
  <c r="AJ46" i="15"/>
  <c r="AJ50" i="15"/>
  <c r="AK48" i="15"/>
  <c r="AJ172" i="8"/>
  <c r="AJ174" i="8"/>
  <c r="AZ16" i="19"/>
  <c r="AZ16" i="22"/>
  <c r="BA16" i="23"/>
  <c r="AW37" i="22"/>
  <c r="AX33" i="22"/>
  <c r="AY33" i="19"/>
  <c r="AX37" i="19"/>
  <c r="AY10" i="18"/>
  <c r="AY12" i="18"/>
  <c r="AZ8" i="18"/>
  <c r="AJ35" i="22"/>
  <c r="AJ35" i="19"/>
  <c r="AJ35" i="20"/>
  <c r="AO10" i="20"/>
  <c r="AO12" i="20"/>
  <c r="AP8" i="20"/>
  <c r="BA16" i="19"/>
  <c r="BA16" i="22"/>
  <c r="G16" i="17"/>
  <c r="AZ37" i="18"/>
  <c r="BA33" i="18"/>
  <c r="BA37" i="18"/>
  <c r="AL10" i="21"/>
  <c r="AL34" i="15"/>
  <c r="AJ34" i="13"/>
  <c r="AL34" i="16"/>
  <c r="AL166" i="8"/>
  <c r="AI24" i="22"/>
  <c r="AI27" i="22"/>
  <c r="AI30" i="22"/>
  <c r="AJ21" i="22"/>
  <c r="AH17" i="19"/>
  <c r="AH18" i="19"/>
  <c r="AH27" i="19"/>
  <c r="AH30" i="19"/>
  <c r="AH17" i="20"/>
  <c r="AH18" i="20"/>
  <c r="AH27" i="20"/>
  <c r="AH30" i="20"/>
  <c r="AH17" i="21"/>
  <c r="AH18" i="21"/>
  <c r="AH27" i="21"/>
  <c r="AH30" i="21"/>
  <c r="AH18" i="23"/>
  <c r="AH27" i="23"/>
  <c r="AH30" i="23"/>
  <c r="AZ33" i="19"/>
  <c r="AY37" i="19"/>
  <c r="AJ33" i="14"/>
  <c r="AJ37" i="14"/>
  <c r="AJ44" i="14"/>
  <c r="AJ46" i="14"/>
  <c r="AJ37" i="16"/>
  <c r="AJ44" i="16"/>
  <c r="AJ46" i="16"/>
  <c r="AZ15" i="19"/>
  <c r="BA15" i="23"/>
  <c r="AZ15" i="22"/>
  <c r="J68" i="5"/>
  <c r="J72" i="5"/>
  <c r="J74" i="5"/>
  <c r="J76" i="5"/>
  <c r="AK170" i="8"/>
  <c r="AK68" i="7"/>
  <c r="AK72" i="7"/>
  <c r="AK74" i="7"/>
  <c r="AK76" i="7"/>
  <c r="G76" i="24"/>
  <c r="AJ21" i="21"/>
  <c r="AI24" i="21"/>
  <c r="AJ21" i="18"/>
  <c r="AI24" i="18"/>
  <c r="AL12" i="23"/>
  <c r="AM8" i="23"/>
  <c r="AJ21" i="23"/>
  <c r="AZ37" i="20"/>
  <c r="BA33" i="20"/>
  <c r="BA37" i="20"/>
  <c r="AI17" i="18"/>
  <c r="AI18" i="18"/>
  <c r="AI27" i="18"/>
  <c r="AI30" i="18"/>
  <c r="AI17" i="22"/>
  <c r="AI17" i="23"/>
  <c r="AJ48" i="16"/>
  <c r="AJ35" i="23"/>
  <c r="AI37" i="23"/>
  <c r="AH27" i="18"/>
  <c r="AH30" i="18"/>
  <c r="AJ21" i="20"/>
  <c r="AH50" i="14"/>
  <c r="AI48" i="14"/>
  <c r="AI50" i="14"/>
  <c r="AJ48" i="14"/>
  <c r="AX37" i="22"/>
  <c r="AY33" i="22"/>
  <c r="AX23" i="18"/>
  <c r="AX23" i="22"/>
  <c r="AY23" i="23"/>
  <c r="AZ15" i="18"/>
  <c r="AJ21" i="19"/>
  <c r="AI24" i="19"/>
  <c r="AL12" i="21"/>
  <c r="AJ35" i="18"/>
  <c r="AZ15" i="21"/>
  <c r="I74" i="24"/>
  <c r="AJ35" i="21"/>
  <c r="AL10" i="19"/>
  <c r="AL12" i="19"/>
  <c r="AP10" i="20"/>
  <c r="AP12" i="20"/>
  <c r="AQ8" i="20"/>
  <c r="AZ10" i="18"/>
  <c r="AZ12" i="18"/>
  <c r="BA8" i="18"/>
  <c r="AY23" i="18"/>
  <c r="AZ23" i="23"/>
  <c r="AY23" i="22"/>
  <c r="AJ37" i="23"/>
  <c r="AM8" i="19"/>
  <c r="AM8" i="21"/>
  <c r="AM10" i="23"/>
  <c r="AJ24" i="20"/>
  <c r="AJ50" i="16"/>
  <c r="AJ24" i="22"/>
  <c r="AJ27" i="22"/>
  <c r="AJ30" i="22"/>
  <c r="BA15" i="21"/>
  <c r="AK21" i="21"/>
  <c r="AJ24" i="21"/>
  <c r="AJ24" i="19"/>
  <c r="AI17" i="20"/>
  <c r="AI18" i="20"/>
  <c r="AI27" i="20"/>
  <c r="AI30" i="20"/>
  <c r="AI17" i="19"/>
  <c r="AI18" i="19"/>
  <c r="AI27" i="19"/>
  <c r="AI30" i="19"/>
  <c r="AI17" i="21"/>
  <c r="AI18" i="21"/>
  <c r="AI27" i="21"/>
  <c r="AI30" i="21"/>
  <c r="AI18" i="23"/>
  <c r="AI27" i="23"/>
  <c r="AI30" i="23"/>
  <c r="AK78" i="7"/>
  <c r="AK21" i="19"/>
  <c r="AK80" i="7"/>
  <c r="AK35" i="22"/>
  <c r="BA15" i="19"/>
  <c r="BA15" i="22"/>
  <c r="AJ50" i="14"/>
  <c r="AK48" i="14"/>
  <c r="BA33" i="19"/>
  <c r="BA37" i="19"/>
  <c r="AZ37" i="19"/>
  <c r="AL34" i="14"/>
  <c r="AZ33" i="22"/>
  <c r="AY37" i="22"/>
  <c r="BA15" i="18"/>
  <c r="AK21" i="18"/>
  <c r="AJ24" i="18"/>
  <c r="AK21" i="23"/>
  <c r="AJ24" i="23"/>
  <c r="AK33" i="15"/>
  <c r="AK37" i="15"/>
  <c r="AK44" i="15"/>
  <c r="AK46" i="15"/>
  <c r="AK50" i="15"/>
  <c r="AL48" i="15"/>
  <c r="AK33" i="16"/>
  <c r="AI33" i="13"/>
  <c r="AI37" i="13"/>
  <c r="AI44" i="13"/>
  <c r="AI46" i="13"/>
  <c r="AI50" i="13"/>
  <c r="AJ48" i="13"/>
  <c r="AK172" i="8"/>
  <c r="AK174" i="8"/>
  <c r="AL170" i="8"/>
  <c r="AL68" i="7"/>
  <c r="AL72" i="7"/>
  <c r="AL74" i="7"/>
  <c r="AL76" i="7"/>
  <c r="K68" i="5"/>
  <c r="K72" i="5"/>
  <c r="K74" i="5"/>
  <c r="K76" i="5"/>
  <c r="BA10" i="18"/>
  <c r="BA12" i="18"/>
  <c r="AK24" i="19"/>
  <c r="AQ10" i="20"/>
  <c r="AQ12" i="20"/>
  <c r="AR8" i="20"/>
  <c r="AL78" i="7"/>
  <c r="AL21" i="19"/>
  <c r="AM10" i="21"/>
  <c r="AM34" i="15"/>
  <c r="AK34" i="13"/>
  <c r="AM34" i="16"/>
  <c r="AM34" i="14"/>
  <c r="AM166" i="8"/>
  <c r="AK35" i="23"/>
  <c r="AJ33" i="13"/>
  <c r="AJ37" i="13"/>
  <c r="AJ44" i="13"/>
  <c r="AJ46" i="13"/>
  <c r="AJ50" i="13"/>
  <c r="AK48" i="13"/>
  <c r="AL33" i="15"/>
  <c r="AL37" i="15"/>
  <c r="AL44" i="15"/>
  <c r="AL46" i="15"/>
  <c r="AL50" i="15"/>
  <c r="AM48" i="15"/>
  <c r="AL172" i="8"/>
  <c r="AL174" i="8"/>
  <c r="AL33" i="16"/>
  <c r="AK24" i="18"/>
  <c r="BA33" i="22"/>
  <c r="BA37" i="22"/>
  <c r="AZ37" i="22"/>
  <c r="G15" i="17"/>
  <c r="AK35" i="19"/>
  <c r="AK21" i="22"/>
  <c r="AM12" i="21"/>
  <c r="AK33" i="14"/>
  <c r="AK37" i="14"/>
  <c r="AK44" i="14"/>
  <c r="AK46" i="14"/>
  <c r="AK37" i="16"/>
  <c r="AK44" i="16"/>
  <c r="AK46" i="16"/>
  <c r="AK24" i="21"/>
  <c r="AK35" i="20"/>
  <c r="AK35" i="21"/>
  <c r="AK35" i="18"/>
  <c r="AK21" i="20"/>
  <c r="AM10" i="19"/>
  <c r="AM12" i="19"/>
  <c r="AZ23" i="18"/>
  <c r="AZ23" i="22"/>
  <c r="BA23" i="23"/>
  <c r="AL21" i="23"/>
  <c r="AK24" i="23"/>
  <c r="AJ17" i="18"/>
  <c r="AJ18" i="18"/>
  <c r="AJ27" i="18"/>
  <c r="AJ30" i="18"/>
  <c r="AJ17" i="22"/>
  <c r="AJ17" i="23"/>
  <c r="AK48" i="16"/>
  <c r="AM12" i="23"/>
  <c r="AN8" i="23"/>
  <c r="AL24" i="19"/>
  <c r="AN8" i="19"/>
  <c r="AN8" i="21"/>
  <c r="AN10" i="23"/>
  <c r="AN12" i="23"/>
  <c r="AO8" i="23"/>
  <c r="BA23" i="18"/>
  <c r="BA23" i="22"/>
  <c r="G23" i="17"/>
  <c r="AL21" i="21"/>
  <c r="AL21" i="22"/>
  <c r="AK24" i="22"/>
  <c r="AK27" i="22"/>
  <c r="AK30" i="22"/>
  <c r="AL33" i="14"/>
  <c r="AL37" i="14"/>
  <c r="AL44" i="14"/>
  <c r="AL46" i="14"/>
  <c r="AL37" i="16"/>
  <c r="AL44" i="16"/>
  <c r="AL46" i="16"/>
  <c r="AK37" i="23"/>
  <c r="AR10" i="20"/>
  <c r="AR12" i="20"/>
  <c r="AS8" i="20"/>
  <c r="AJ17" i="20"/>
  <c r="AJ18" i="20"/>
  <c r="AJ27" i="20"/>
  <c r="AJ30" i="20"/>
  <c r="AJ17" i="19"/>
  <c r="AJ18" i="19"/>
  <c r="AJ27" i="19"/>
  <c r="AJ30" i="19"/>
  <c r="AJ17" i="21"/>
  <c r="AJ18" i="21"/>
  <c r="AJ27" i="21"/>
  <c r="AJ30" i="21"/>
  <c r="AJ18" i="23"/>
  <c r="AJ27" i="23"/>
  <c r="AJ30" i="23"/>
  <c r="AL21" i="20"/>
  <c r="AK24" i="20"/>
  <c r="AK50" i="16"/>
  <c r="AL35" i="19"/>
  <c r="AM68" i="7"/>
  <c r="AM72" i="7"/>
  <c r="AM74" i="7"/>
  <c r="AM76" i="7"/>
  <c r="AM170" i="8"/>
  <c r="L68" i="5"/>
  <c r="L72" i="5"/>
  <c r="L74" i="5"/>
  <c r="L76" i="5"/>
  <c r="AL24" i="23"/>
  <c r="AK50" i="14"/>
  <c r="AL48" i="14"/>
  <c r="AL21" i="18"/>
  <c r="AL80" i="7"/>
  <c r="AL35" i="22"/>
  <c r="AO8" i="19"/>
  <c r="AO8" i="21"/>
  <c r="AO10" i="23"/>
  <c r="AO12" i="23"/>
  <c r="AP8" i="23"/>
  <c r="AS10" i="20"/>
  <c r="AS12" i="20"/>
  <c r="AT8" i="20"/>
  <c r="AM78" i="7"/>
  <c r="AL24" i="20"/>
  <c r="AL35" i="23"/>
  <c r="AL24" i="22"/>
  <c r="AL27" i="22"/>
  <c r="AL30" i="22"/>
  <c r="AL35" i="18"/>
  <c r="AN10" i="19"/>
  <c r="AN12" i="19"/>
  <c r="AK17" i="18"/>
  <c r="AK18" i="18"/>
  <c r="AK27" i="18"/>
  <c r="AK30" i="18"/>
  <c r="AK17" i="22"/>
  <c r="AK17" i="23"/>
  <c r="AL48" i="16"/>
  <c r="AL50" i="16"/>
  <c r="AL24" i="21"/>
  <c r="AL24" i="18"/>
  <c r="AM21" i="18"/>
  <c r="AL35" i="20"/>
  <c r="AK33" i="13"/>
  <c r="AK37" i="13"/>
  <c r="AK44" i="13"/>
  <c r="AK46" i="13"/>
  <c r="AK50" i="13"/>
  <c r="AL48" i="13"/>
  <c r="AM33" i="15"/>
  <c r="AM37" i="15"/>
  <c r="AM44" i="15"/>
  <c r="AM46" i="15"/>
  <c r="AM50" i="15"/>
  <c r="AN48" i="15"/>
  <c r="AM33" i="16"/>
  <c r="AM172" i="8"/>
  <c r="AM174" i="8"/>
  <c r="AL35" i="21"/>
  <c r="AL50" i="14"/>
  <c r="AM48" i="14"/>
  <c r="AN10" i="21"/>
  <c r="AN12" i="21"/>
  <c r="AL34" i="13"/>
  <c r="AN34" i="16"/>
  <c r="AN34" i="14"/>
  <c r="AN34" i="15"/>
  <c r="AN166" i="8"/>
  <c r="AT10" i="20"/>
  <c r="AT12" i="20"/>
  <c r="AU8" i="20"/>
  <c r="AP8" i="19"/>
  <c r="AP12" i="23"/>
  <c r="AQ8" i="23"/>
  <c r="AP8" i="22"/>
  <c r="AP10" i="23"/>
  <c r="M68" i="5"/>
  <c r="M72" i="5"/>
  <c r="M74" i="5"/>
  <c r="M76" i="5"/>
  <c r="AN68" i="7"/>
  <c r="AN72" i="7"/>
  <c r="AN74" i="7"/>
  <c r="AN76" i="7"/>
  <c r="AN170" i="8"/>
  <c r="AL37" i="23"/>
  <c r="AM21" i="19"/>
  <c r="AM21" i="23"/>
  <c r="AM80" i="7"/>
  <c r="AO12" i="21"/>
  <c r="AP8" i="21"/>
  <c r="F8" i="17"/>
  <c r="AM24" i="18"/>
  <c r="AK17" i="19"/>
  <c r="AK18" i="19"/>
  <c r="AK27" i="19"/>
  <c r="AK30" i="19"/>
  <c r="AK17" i="20"/>
  <c r="AK18" i="20"/>
  <c r="AK27" i="20"/>
  <c r="AK30" i="20"/>
  <c r="AK17" i="21"/>
  <c r="AK18" i="21"/>
  <c r="AK27" i="21"/>
  <c r="AK30" i="21"/>
  <c r="AK18" i="23"/>
  <c r="AK27" i="23"/>
  <c r="AK30" i="23"/>
  <c r="AM21" i="20"/>
  <c r="AM33" i="14"/>
  <c r="AM37" i="14"/>
  <c r="AM44" i="14"/>
  <c r="AM46" i="14"/>
  <c r="AM37" i="16"/>
  <c r="AM44" i="16"/>
  <c r="AM46" i="16"/>
  <c r="AM50" i="16"/>
  <c r="AL17" i="18"/>
  <c r="AL18" i="18"/>
  <c r="AL27" i="18"/>
  <c r="AL30" i="18"/>
  <c r="AL17" i="22"/>
  <c r="AM48" i="16"/>
  <c r="AL17" i="23"/>
  <c r="AO10" i="21"/>
  <c r="F10" i="17"/>
  <c r="AM34" i="13"/>
  <c r="AO34" i="15"/>
  <c r="AO34" i="16"/>
  <c r="AO34" i="14"/>
  <c r="AO166" i="8"/>
  <c r="AM35" i="20"/>
  <c r="AM21" i="21"/>
  <c r="AM21" i="22"/>
  <c r="AO10" i="19"/>
  <c r="AO12" i="19"/>
  <c r="AU10" i="20"/>
  <c r="AU12" i="20"/>
  <c r="AV8" i="20"/>
  <c r="AM24" i="21"/>
  <c r="AM17" i="18"/>
  <c r="AM18" i="18"/>
  <c r="AM27" i="18"/>
  <c r="AM30" i="18"/>
  <c r="AM17" i="23"/>
  <c r="AM17" i="22"/>
  <c r="AN48" i="16"/>
  <c r="AP10" i="21"/>
  <c r="AP12" i="21"/>
  <c r="AQ8" i="21"/>
  <c r="AM24" i="19"/>
  <c r="AQ8" i="19"/>
  <c r="AQ8" i="22"/>
  <c r="AQ10" i="23"/>
  <c r="AQ12" i="23"/>
  <c r="AR8" i="23"/>
  <c r="AM50" i="14"/>
  <c r="AN48" i="14"/>
  <c r="AM35" i="19"/>
  <c r="AM35" i="22"/>
  <c r="AN35" i="22"/>
  <c r="AP10" i="19"/>
  <c r="AP12" i="19"/>
  <c r="BC34" i="14"/>
  <c r="AL17" i="19"/>
  <c r="AL18" i="19"/>
  <c r="AL27" i="19"/>
  <c r="AL30" i="19"/>
  <c r="AL17" i="20"/>
  <c r="AL18" i="20"/>
  <c r="AL27" i="20"/>
  <c r="AL30" i="20"/>
  <c r="AL17" i="21"/>
  <c r="AL18" i="21"/>
  <c r="AL27" i="21"/>
  <c r="AL30" i="21"/>
  <c r="AL18" i="23"/>
  <c r="AL27" i="23"/>
  <c r="AL30" i="23"/>
  <c r="AN80" i="7"/>
  <c r="AN35" i="20"/>
  <c r="AN78" i="7"/>
  <c r="AN21" i="18"/>
  <c r="AM24" i="20"/>
  <c r="AN21" i="20"/>
  <c r="AM35" i="18"/>
  <c r="AN35" i="18"/>
  <c r="AM35" i="23"/>
  <c r="AP10" i="22"/>
  <c r="AP12" i="22"/>
  <c r="AN34" i="13"/>
  <c r="AP34" i="14"/>
  <c r="AP166" i="8"/>
  <c r="AP34" i="16"/>
  <c r="AN21" i="22"/>
  <c r="AM24" i="22"/>
  <c r="AM27" i="22"/>
  <c r="AM30" i="22"/>
  <c r="N68" i="5"/>
  <c r="AO170" i="8"/>
  <c r="AO68" i="7"/>
  <c r="AO72" i="7"/>
  <c r="AO74" i="7"/>
  <c r="AO76" i="7"/>
  <c r="AM35" i="21"/>
  <c r="AN35" i="21"/>
  <c r="F12" i="17"/>
  <c r="AM24" i="23"/>
  <c r="AN21" i="23"/>
  <c r="AL33" i="13"/>
  <c r="AL37" i="13"/>
  <c r="AL44" i="13"/>
  <c r="AL46" i="13"/>
  <c r="AL50" i="13"/>
  <c r="AM48" i="13"/>
  <c r="AN33" i="15"/>
  <c r="AN37" i="15"/>
  <c r="AN44" i="15"/>
  <c r="AN46" i="15"/>
  <c r="AN50" i="15"/>
  <c r="AO48" i="15"/>
  <c r="AN33" i="16"/>
  <c r="AN172" i="8"/>
  <c r="AN174" i="8"/>
  <c r="AQ10" i="21"/>
  <c r="AQ12" i="21"/>
  <c r="AR8" i="21"/>
  <c r="AN33" i="14"/>
  <c r="AN37" i="14"/>
  <c r="AN44" i="14"/>
  <c r="AN46" i="14"/>
  <c r="AN50" i="14"/>
  <c r="AO48" i="14"/>
  <c r="AN37" i="16"/>
  <c r="AN44" i="16"/>
  <c r="AN46" i="16"/>
  <c r="AN50" i="16"/>
  <c r="AP34" i="15"/>
  <c r="AO35" i="22"/>
  <c r="AR8" i="19"/>
  <c r="AR10" i="23"/>
  <c r="AR8" i="22"/>
  <c r="AR12" i="23"/>
  <c r="AS8" i="23"/>
  <c r="N72" i="5"/>
  <c r="N74" i="5"/>
  <c r="N76" i="5"/>
  <c r="P68" i="5"/>
  <c r="C68" i="6"/>
  <c r="AP170" i="8"/>
  <c r="AP68" i="7"/>
  <c r="AP72" i="7"/>
  <c r="AP74" i="7"/>
  <c r="AP76" i="7"/>
  <c r="AN35" i="23"/>
  <c r="AM37" i="23"/>
  <c r="AN35" i="19"/>
  <c r="AO35" i="19"/>
  <c r="AO34" i="13"/>
  <c r="AQ34" i="14"/>
  <c r="AQ10" i="22"/>
  <c r="AQ34" i="16"/>
  <c r="AQ34" i="15"/>
  <c r="AQ166" i="8"/>
  <c r="AN21" i="19"/>
  <c r="AN21" i="21"/>
  <c r="AM33" i="13"/>
  <c r="AM37" i="13"/>
  <c r="AM44" i="13"/>
  <c r="AM46" i="13"/>
  <c r="AM50" i="13"/>
  <c r="AN48" i="13"/>
  <c r="AO33" i="16"/>
  <c r="AO33" i="15"/>
  <c r="AO37" i="15"/>
  <c r="AO44" i="15"/>
  <c r="AO46" i="15"/>
  <c r="AO50" i="15"/>
  <c r="AO172" i="8"/>
  <c r="AO174" i="8"/>
  <c r="AO35" i="21"/>
  <c r="AN24" i="18"/>
  <c r="AQ12" i="22"/>
  <c r="AM17" i="20"/>
  <c r="AM18" i="20"/>
  <c r="AM27" i="20"/>
  <c r="AM30" i="20"/>
  <c r="AM17" i="21"/>
  <c r="AM18" i="21"/>
  <c r="AM27" i="21"/>
  <c r="AM30" i="21"/>
  <c r="AM17" i="19"/>
  <c r="AM18" i="19"/>
  <c r="AM27" i="19"/>
  <c r="AM30" i="19"/>
  <c r="AM18" i="23"/>
  <c r="AM27" i="23"/>
  <c r="AM30" i="23"/>
  <c r="AV10" i="20"/>
  <c r="AV12" i="20"/>
  <c r="AW8" i="20"/>
  <c r="AO21" i="23"/>
  <c r="AN24" i="23"/>
  <c r="AO78" i="7"/>
  <c r="AO21" i="18"/>
  <c r="AO80" i="7"/>
  <c r="AO35" i="18"/>
  <c r="AO21" i="22"/>
  <c r="AO24" i="22"/>
  <c r="AO27" i="22"/>
  <c r="AO30" i="22"/>
  <c r="AN24" i="22"/>
  <c r="AN27" i="22"/>
  <c r="AN30" i="22"/>
  <c r="AO21" i="20"/>
  <c r="AN24" i="20"/>
  <c r="AQ12" i="19"/>
  <c r="AQ10" i="19"/>
  <c r="AO24" i="18"/>
  <c r="AW12" i="20"/>
  <c r="AX8" i="20"/>
  <c r="AW10" i="20"/>
  <c r="AR10" i="21"/>
  <c r="AR12" i="21"/>
  <c r="AS8" i="21"/>
  <c r="AO24" i="20"/>
  <c r="AO21" i="21"/>
  <c r="AN24" i="21"/>
  <c r="C72" i="6"/>
  <c r="C74" i="6"/>
  <c r="C76" i="6"/>
  <c r="AO35" i="20"/>
  <c r="AO24" i="23"/>
  <c r="AP33" i="14"/>
  <c r="AP37" i="14"/>
  <c r="AP44" i="14"/>
  <c r="AP46" i="14"/>
  <c r="AN33" i="13"/>
  <c r="AN37" i="13"/>
  <c r="AN44" i="13"/>
  <c r="AN46" i="13"/>
  <c r="AN50" i="13"/>
  <c r="AO48" i="13"/>
  <c r="AP33" i="16"/>
  <c r="AP172" i="8"/>
  <c r="AP174" i="8"/>
  <c r="AS8" i="19"/>
  <c r="AS12" i="23"/>
  <c r="AT8" i="23"/>
  <c r="AS10" i="23"/>
  <c r="AS8" i="22"/>
  <c r="AN24" i="19"/>
  <c r="AO21" i="19"/>
  <c r="AO35" i="23"/>
  <c r="AN37" i="23"/>
  <c r="P72" i="5"/>
  <c r="P74" i="5"/>
  <c r="P76" i="5"/>
  <c r="F68" i="1"/>
  <c r="AR10" i="22"/>
  <c r="AR12" i="22"/>
  <c r="AR34" i="16"/>
  <c r="AR34" i="15"/>
  <c r="AP34" i="13"/>
  <c r="AR34" i="14"/>
  <c r="AR166" i="8"/>
  <c r="F35" i="17"/>
  <c r="F37" i="17"/>
  <c r="AO33" i="14"/>
  <c r="AO37" i="16"/>
  <c r="AO44" i="16"/>
  <c r="AO46" i="16"/>
  <c r="AQ68" i="7"/>
  <c r="AQ72" i="7"/>
  <c r="AQ74" i="7"/>
  <c r="AQ76" i="7"/>
  <c r="D68" i="6"/>
  <c r="D72" i="6"/>
  <c r="D74" i="6"/>
  <c r="D76" i="6"/>
  <c r="AQ170" i="8"/>
  <c r="AP78" i="7"/>
  <c r="AP80" i="7"/>
  <c r="AR10" i="19"/>
  <c r="AR12" i="19"/>
  <c r="AN17" i="18"/>
  <c r="AN18" i="18"/>
  <c r="AN27" i="18"/>
  <c r="AN30" i="18"/>
  <c r="AN17" i="22"/>
  <c r="AN17" i="23"/>
  <c r="AO48" i="16"/>
  <c r="AP35" i="18"/>
  <c r="AP35" i="19"/>
  <c r="AP35" i="21"/>
  <c r="AP35" i="22"/>
  <c r="AS10" i="21"/>
  <c r="AS12" i="21"/>
  <c r="AT8" i="21"/>
  <c r="AQ78" i="7"/>
  <c r="AQ80" i="7"/>
  <c r="AP21" i="23"/>
  <c r="AX10" i="20"/>
  <c r="AX12" i="20"/>
  <c r="AY8" i="20"/>
  <c r="AS10" i="19"/>
  <c r="AS12" i="19"/>
  <c r="AP35" i="20"/>
  <c r="AT8" i="19"/>
  <c r="AT10" i="23"/>
  <c r="AT8" i="22"/>
  <c r="AP21" i="20"/>
  <c r="AO50" i="16"/>
  <c r="AN17" i="19"/>
  <c r="AN18" i="19"/>
  <c r="AN27" i="19"/>
  <c r="AN30" i="19"/>
  <c r="AN17" i="20"/>
  <c r="AN18" i="20"/>
  <c r="AN27" i="20"/>
  <c r="AN30" i="20"/>
  <c r="AN17" i="21"/>
  <c r="AN18" i="21"/>
  <c r="AN27" i="21"/>
  <c r="AN30" i="21"/>
  <c r="AN18" i="23"/>
  <c r="AN27" i="23"/>
  <c r="AN30" i="23"/>
  <c r="AO33" i="13"/>
  <c r="AO37" i="13"/>
  <c r="AO44" i="13"/>
  <c r="AO46" i="13"/>
  <c r="AO50" i="13"/>
  <c r="AP48" i="13"/>
  <c r="AQ33" i="14"/>
  <c r="AQ37" i="14"/>
  <c r="AQ44" i="14"/>
  <c r="AQ46" i="14"/>
  <c r="AQ33" i="16"/>
  <c r="AQ172" i="8"/>
  <c r="AQ174" i="8"/>
  <c r="BC33" i="14"/>
  <c r="BC37" i="14"/>
  <c r="BC44" i="14"/>
  <c r="AO37" i="14"/>
  <c r="AO44" i="14"/>
  <c r="AO46" i="14"/>
  <c r="AR68" i="7"/>
  <c r="AR72" i="7"/>
  <c r="AR74" i="7"/>
  <c r="AR76" i="7"/>
  <c r="AR170" i="8"/>
  <c r="E68" i="6"/>
  <c r="E72" i="6"/>
  <c r="E74" i="6"/>
  <c r="E76" i="6"/>
  <c r="AP35" i="23"/>
  <c r="AO37" i="23"/>
  <c r="AP21" i="21"/>
  <c r="AO24" i="21"/>
  <c r="F21" i="17"/>
  <c r="F24" i="17"/>
  <c r="AP21" i="18"/>
  <c r="F72" i="1"/>
  <c r="F74" i="1"/>
  <c r="F76" i="1"/>
  <c r="AP21" i="19"/>
  <c r="AO24" i="19"/>
  <c r="AS10" i="22"/>
  <c r="AS12" i="22"/>
  <c r="AQ34" i="13"/>
  <c r="AS34" i="14"/>
  <c r="AS34" i="16"/>
  <c r="AS166" i="8"/>
  <c r="AP33" i="15"/>
  <c r="AP37" i="16"/>
  <c r="AP44" i="16"/>
  <c r="AP46" i="16"/>
  <c r="AT10" i="21"/>
  <c r="AT12" i="21"/>
  <c r="AU8" i="21"/>
  <c r="AQ35" i="20"/>
  <c r="AQ35" i="22"/>
  <c r="AQ21" i="19"/>
  <c r="AP24" i="19"/>
  <c r="AQ21" i="18"/>
  <c r="AP24" i="18"/>
  <c r="AP33" i="13"/>
  <c r="AP37" i="13"/>
  <c r="AP44" i="13"/>
  <c r="AP46" i="13"/>
  <c r="AP50" i="13"/>
  <c r="AQ48" i="13"/>
  <c r="AR33" i="14"/>
  <c r="AR37" i="14"/>
  <c r="AR44" i="14"/>
  <c r="AR46" i="14"/>
  <c r="AR33" i="16"/>
  <c r="AR172" i="8"/>
  <c r="AR174" i="8"/>
  <c r="AO17" i="18"/>
  <c r="AO18" i="18"/>
  <c r="AO27" i="18"/>
  <c r="AO30" i="18"/>
  <c r="AO17" i="22"/>
  <c r="AO17" i="23"/>
  <c r="AP48" i="16"/>
  <c r="AP50" i="16"/>
  <c r="AT34" i="14"/>
  <c r="AT34" i="16"/>
  <c r="AT34" i="15"/>
  <c r="AT166" i="8"/>
  <c r="AT10" i="22"/>
  <c r="AT12" i="22"/>
  <c r="AR34" i="13"/>
  <c r="AY10" i="20"/>
  <c r="AY12" i="20"/>
  <c r="AZ8" i="20"/>
  <c r="AQ35" i="21"/>
  <c r="AS34" i="15"/>
  <c r="AP24" i="21"/>
  <c r="AQ21" i="21"/>
  <c r="AP37" i="15"/>
  <c r="AP44" i="15"/>
  <c r="AP46" i="15"/>
  <c r="AR78" i="7"/>
  <c r="AR80" i="7"/>
  <c r="AQ33" i="15"/>
  <c r="AQ37" i="15"/>
  <c r="AQ44" i="15"/>
  <c r="AQ46" i="15"/>
  <c r="AQ37" i="16"/>
  <c r="AQ44" i="16"/>
  <c r="AQ46" i="16"/>
  <c r="AP24" i="20"/>
  <c r="AQ21" i="20"/>
  <c r="AT12" i="23"/>
  <c r="AU8" i="23"/>
  <c r="AQ35" i="19"/>
  <c r="AS170" i="8"/>
  <c r="AS68" i="7"/>
  <c r="AS72" i="7"/>
  <c r="AS74" i="7"/>
  <c r="AS76" i="7"/>
  <c r="F68" i="6"/>
  <c r="F72" i="6"/>
  <c r="F74" i="6"/>
  <c r="F76" i="6"/>
  <c r="F78" i="1"/>
  <c r="AQ35" i="23"/>
  <c r="AP37" i="23"/>
  <c r="AO50" i="14"/>
  <c r="AP48" i="14"/>
  <c r="AP50" i="14"/>
  <c r="AQ48" i="14"/>
  <c r="AQ50" i="14"/>
  <c r="AR48" i="14"/>
  <c r="BC46" i="14"/>
  <c r="BC50" i="14"/>
  <c r="AP48" i="15"/>
  <c r="BC48" i="15"/>
  <c r="AT12" i="19"/>
  <c r="AT10" i="19"/>
  <c r="AP21" i="22"/>
  <c r="AP24" i="22"/>
  <c r="AQ21" i="23"/>
  <c r="AP24" i="23"/>
  <c r="AQ35" i="18"/>
  <c r="AP17" i="18"/>
  <c r="AP18" i="18"/>
  <c r="AP27" i="18"/>
  <c r="AP30" i="18"/>
  <c r="AP17" i="21"/>
  <c r="AP18" i="21"/>
  <c r="AP27" i="21"/>
  <c r="AP30" i="21"/>
  <c r="AP17" i="23"/>
  <c r="AQ48" i="16"/>
  <c r="AQ50" i="16"/>
  <c r="AZ10" i="20"/>
  <c r="AZ12" i="20"/>
  <c r="BA8" i="20"/>
  <c r="AU10" i="21"/>
  <c r="AU12" i="21"/>
  <c r="AV8" i="21"/>
  <c r="D64" i="13"/>
  <c r="D64" i="15"/>
  <c r="D64" i="14"/>
  <c r="D64" i="16"/>
  <c r="AP50" i="15"/>
  <c r="AQ48" i="15"/>
  <c r="AQ50" i="15"/>
  <c r="AR48" i="15"/>
  <c r="AR50" i="14"/>
  <c r="AS48" i="14"/>
  <c r="AR21" i="19"/>
  <c r="AQ24" i="19"/>
  <c r="AR35" i="19"/>
  <c r="AU8" i="19"/>
  <c r="AU8" i="22"/>
  <c r="AU10" i="23"/>
  <c r="AU12" i="23"/>
  <c r="AV8" i="23"/>
  <c r="AR35" i="23"/>
  <c r="AQ37" i="23"/>
  <c r="AS78" i="7"/>
  <c r="AS80" i="7"/>
  <c r="AR21" i="20"/>
  <c r="AQ24" i="20"/>
  <c r="AR21" i="21"/>
  <c r="AQ24" i="21"/>
  <c r="AR35" i="21"/>
  <c r="AR35" i="20"/>
  <c r="AQ21" i="22"/>
  <c r="AQ24" i="22"/>
  <c r="AR21" i="23"/>
  <c r="AQ24" i="23"/>
  <c r="AR35" i="18"/>
  <c r="F80" i="1"/>
  <c r="AQ33" i="13"/>
  <c r="AQ37" i="13"/>
  <c r="AQ44" i="13"/>
  <c r="AQ46" i="13"/>
  <c r="AQ50" i="13"/>
  <c r="AR48" i="13"/>
  <c r="AS33" i="16"/>
  <c r="AS33" i="14"/>
  <c r="AS37" i="14"/>
  <c r="AS44" i="14"/>
  <c r="AS46" i="14"/>
  <c r="AS172" i="8"/>
  <c r="AS174" i="8"/>
  <c r="G68" i="6"/>
  <c r="AT170" i="8"/>
  <c r="AT68" i="7"/>
  <c r="AT72" i="7"/>
  <c r="AT74" i="7"/>
  <c r="AT76" i="7"/>
  <c r="AO17" i="19"/>
  <c r="AO18" i="19"/>
  <c r="AO27" i="19"/>
  <c r="AO30" i="19"/>
  <c r="AO17" i="21"/>
  <c r="AO17" i="20"/>
  <c r="AO18" i="20"/>
  <c r="AO27" i="20"/>
  <c r="AO30" i="20"/>
  <c r="AO18" i="23"/>
  <c r="AO27" i="23"/>
  <c r="AO30" i="23"/>
  <c r="AR33" i="15"/>
  <c r="AR37" i="15"/>
  <c r="AR44" i="15"/>
  <c r="AR46" i="15"/>
  <c r="AR37" i="16"/>
  <c r="AR44" i="16"/>
  <c r="AR46" i="16"/>
  <c r="AR21" i="18"/>
  <c r="AQ24" i="18"/>
  <c r="AR35" i="22"/>
  <c r="AQ17" i="18"/>
  <c r="AQ18" i="18"/>
  <c r="AQ27" i="18"/>
  <c r="AQ30" i="18"/>
  <c r="AQ17" i="21"/>
  <c r="AQ18" i="21"/>
  <c r="AQ27" i="21"/>
  <c r="AQ30" i="21"/>
  <c r="AQ17" i="23"/>
  <c r="AR48" i="16"/>
  <c r="BA10" i="20"/>
  <c r="BA12" i="20"/>
  <c r="AV8" i="19"/>
  <c r="AV10" i="23"/>
  <c r="AV8" i="22"/>
  <c r="AV12" i="23"/>
  <c r="AW8" i="23"/>
  <c r="AV12" i="21"/>
  <c r="AW8" i="21"/>
  <c r="AV10" i="21"/>
  <c r="AT78" i="7"/>
  <c r="AT80" i="7"/>
  <c r="AS50" i="14"/>
  <c r="AT48" i="14"/>
  <c r="AS35" i="18"/>
  <c r="AS35" i="20"/>
  <c r="AS21" i="21"/>
  <c r="AR24" i="21"/>
  <c r="AU10" i="22"/>
  <c r="AS34" i="13"/>
  <c r="AU34" i="14"/>
  <c r="AU34" i="16"/>
  <c r="AU34" i="15"/>
  <c r="AU166" i="8"/>
  <c r="AS35" i="19"/>
  <c r="F65" i="14"/>
  <c r="G64" i="14"/>
  <c r="J64" i="14"/>
  <c r="C65" i="14"/>
  <c r="I64" i="14"/>
  <c r="AY40" i="14"/>
  <c r="E65" i="14"/>
  <c r="AP17" i="19"/>
  <c r="AP18" i="19"/>
  <c r="AP27" i="19"/>
  <c r="AP30" i="19"/>
  <c r="AP17" i="20"/>
  <c r="AP18" i="20"/>
  <c r="AP27" i="20"/>
  <c r="AP30" i="20"/>
  <c r="AP17" i="22"/>
  <c r="AP18" i="22"/>
  <c r="AP27" i="22"/>
  <c r="AP30" i="22"/>
  <c r="AP18" i="23"/>
  <c r="AP27" i="23"/>
  <c r="AP30" i="23"/>
  <c r="AS35" i="22"/>
  <c r="AT35" i="22"/>
  <c r="F65" i="16"/>
  <c r="G64" i="16"/>
  <c r="E65" i="16"/>
  <c r="I64" i="16"/>
  <c r="AY40" i="16"/>
  <c r="AY40" i="15"/>
  <c r="AR24" i="18"/>
  <c r="AS21" i="18"/>
  <c r="AR33" i="13"/>
  <c r="AR37" i="13"/>
  <c r="AR44" i="13"/>
  <c r="AR46" i="13"/>
  <c r="AR50" i="13"/>
  <c r="AS48" i="13"/>
  <c r="AT33" i="14"/>
  <c r="AT37" i="14"/>
  <c r="AT44" i="14"/>
  <c r="AT46" i="14"/>
  <c r="AT172" i="8"/>
  <c r="AT174" i="8"/>
  <c r="AT33" i="16"/>
  <c r="AS33" i="15"/>
  <c r="AS37" i="15"/>
  <c r="AS44" i="15"/>
  <c r="AS46" i="15"/>
  <c r="AS50" i="15"/>
  <c r="AT48" i="15"/>
  <c r="AS37" i="16"/>
  <c r="AS44" i="16"/>
  <c r="AS46" i="16"/>
  <c r="AU12" i="22"/>
  <c r="F65" i="15"/>
  <c r="G64" i="15"/>
  <c r="E65" i="15"/>
  <c r="I64" i="15"/>
  <c r="J64" i="15"/>
  <c r="C65" i="15"/>
  <c r="AR50" i="15"/>
  <c r="AS48" i="15"/>
  <c r="AR50" i="16"/>
  <c r="F17" i="17"/>
  <c r="F18" i="17"/>
  <c r="F27" i="17"/>
  <c r="F30" i="17"/>
  <c r="AO18" i="21"/>
  <c r="AO27" i="21"/>
  <c r="AO30" i="21"/>
  <c r="G72" i="6"/>
  <c r="G74" i="6"/>
  <c r="G76" i="6"/>
  <c r="AR21" i="22"/>
  <c r="AR24" i="22"/>
  <c r="AR24" i="23"/>
  <c r="AS21" i="23"/>
  <c r="AS35" i="21"/>
  <c r="AT35" i="21"/>
  <c r="AS21" i="20"/>
  <c r="AR24" i="20"/>
  <c r="AS35" i="23"/>
  <c r="AR37" i="23"/>
  <c r="AU10" i="19"/>
  <c r="AU12" i="19"/>
  <c r="AR24" i="19"/>
  <c r="AS21" i="19"/>
  <c r="F65" i="13"/>
  <c r="G64" i="13"/>
  <c r="E65" i="13"/>
  <c r="I64" i="13"/>
  <c r="AW40" i="13"/>
  <c r="AW10" i="21"/>
  <c r="AW12" i="21"/>
  <c r="AX8" i="21"/>
  <c r="AT33" i="15"/>
  <c r="AT37" i="15"/>
  <c r="AT44" i="15"/>
  <c r="AT46" i="15"/>
  <c r="AT50" i="15"/>
  <c r="AU48" i="15"/>
  <c r="AT37" i="16"/>
  <c r="AT44" i="16"/>
  <c r="AT46" i="16"/>
  <c r="AT21" i="18"/>
  <c r="AS24" i="18"/>
  <c r="AT21" i="21"/>
  <c r="AS24" i="21"/>
  <c r="AW8" i="19"/>
  <c r="AW12" i="23"/>
  <c r="AX8" i="23"/>
  <c r="AW10" i="23"/>
  <c r="AW8" i="22"/>
  <c r="AT40" i="13"/>
  <c r="L64" i="13"/>
  <c r="AV10" i="19"/>
  <c r="AV12" i="19"/>
  <c r="J64" i="13"/>
  <c r="C65" i="13"/>
  <c r="AT21" i="20"/>
  <c r="AS24" i="20"/>
  <c r="AS24" i="19"/>
  <c r="AT21" i="19"/>
  <c r="AR17" i="18"/>
  <c r="AR18" i="18"/>
  <c r="AR27" i="18"/>
  <c r="AR30" i="18"/>
  <c r="AR17" i="21"/>
  <c r="AR18" i="21"/>
  <c r="AR27" i="21"/>
  <c r="AR30" i="21"/>
  <c r="AR17" i="23"/>
  <c r="AS48" i="16"/>
  <c r="AS50" i="16"/>
  <c r="AV40" i="16"/>
  <c r="AV40" i="15"/>
  <c r="BC40" i="15"/>
  <c r="L64" i="16"/>
  <c r="AT35" i="19"/>
  <c r="AT35" i="20"/>
  <c r="AV12" i="22"/>
  <c r="AV40" i="14"/>
  <c r="L64" i="14"/>
  <c r="AQ17" i="20"/>
  <c r="AQ18" i="20"/>
  <c r="AQ27" i="20"/>
  <c r="AQ30" i="20"/>
  <c r="AQ17" i="19"/>
  <c r="AQ18" i="19"/>
  <c r="AQ27" i="19"/>
  <c r="AQ30" i="19"/>
  <c r="AQ17" i="22"/>
  <c r="AQ18" i="22"/>
  <c r="AQ27" i="22"/>
  <c r="AQ30" i="22"/>
  <c r="AQ18" i="23"/>
  <c r="AQ27" i="23"/>
  <c r="AQ30" i="23"/>
  <c r="AT35" i="23"/>
  <c r="AS37" i="23"/>
  <c r="AT21" i="23"/>
  <c r="AS24" i="23"/>
  <c r="AS21" i="22"/>
  <c r="AS24" i="22"/>
  <c r="L64" i="15"/>
  <c r="AT50" i="14"/>
  <c r="AU48" i="14"/>
  <c r="J64" i="16"/>
  <c r="C65" i="16"/>
  <c r="AU68" i="7"/>
  <c r="AU72" i="7"/>
  <c r="AU74" i="7"/>
  <c r="AU76" i="7"/>
  <c r="AU170" i="8"/>
  <c r="H68" i="6"/>
  <c r="AT35" i="18"/>
  <c r="AV10" i="22"/>
  <c r="AT34" i="13"/>
  <c r="AV34" i="16"/>
  <c r="AV34" i="14"/>
  <c r="AV166" i="8"/>
  <c r="AS17" i="18"/>
  <c r="AS18" i="18"/>
  <c r="AS27" i="18"/>
  <c r="AS30" i="18"/>
  <c r="AS17" i="21"/>
  <c r="AS18" i="21"/>
  <c r="AS27" i="21"/>
  <c r="AS30" i="21"/>
  <c r="AS17" i="23"/>
  <c r="AT48" i="16"/>
  <c r="AX10" i="21"/>
  <c r="AX12" i="21"/>
  <c r="AY8" i="21"/>
  <c r="AT37" i="23"/>
  <c r="AX8" i="19"/>
  <c r="AX12" i="23"/>
  <c r="AY8" i="23"/>
  <c r="AX8" i="22"/>
  <c r="AX10" i="23"/>
  <c r="H72" i="6"/>
  <c r="H74" i="6"/>
  <c r="H76" i="6"/>
  <c r="AR17" i="20"/>
  <c r="AR18" i="20"/>
  <c r="AR27" i="20"/>
  <c r="AR30" i="20"/>
  <c r="AR17" i="22"/>
  <c r="AR18" i="22"/>
  <c r="AR27" i="22"/>
  <c r="AR30" i="22"/>
  <c r="AR17" i="19"/>
  <c r="AR18" i="19"/>
  <c r="AR27" i="19"/>
  <c r="AR30" i="19"/>
  <c r="AR18" i="23"/>
  <c r="AR27" i="23"/>
  <c r="AR30" i="23"/>
  <c r="AT24" i="19"/>
  <c r="AW10" i="19"/>
  <c r="AW12" i="19"/>
  <c r="AV34" i="15"/>
  <c r="AS33" i="13"/>
  <c r="AS37" i="13"/>
  <c r="AS44" i="13"/>
  <c r="AS46" i="13"/>
  <c r="AS50" i="13"/>
  <c r="AT48" i="13"/>
  <c r="AU33" i="14"/>
  <c r="AU37" i="14"/>
  <c r="AU44" i="14"/>
  <c r="AU46" i="14"/>
  <c r="AU50" i="14"/>
  <c r="AV48" i="14"/>
  <c r="AU33" i="16"/>
  <c r="AU172" i="8"/>
  <c r="AU174" i="8"/>
  <c r="AT24" i="18"/>
  <c r="AT24" i="20"/>
  <c r="AT21" i="22"/>
  <c r="AT24" i="22"/>
  <c r="AT24" i="23"/>
  <c r="AV68" i="7"/>
  <c r="AV72" i="7"/>
  <c r="AV74" i="7"/>
  <c r="AV76" i="7"/>
  <c r="I68" i="6"/>
  <c r="I72" i="6"/>
  <c r="I74" i="6"/>
  <c r="I76" i="6"/>
  <c r="AV170" i="8"/>
  <c r="AU78" i="7"/>
  <c r="AU21" i="20"/>
  <c r="AW10" i="22"/>
  <c r="AW12" i="22"/>
  <c r="AU34" i="13"/>
  <c r="AW34" i="16"/>
  <c r="AW34" i="15"/>
  <c r="AW166" i="8"/>
  <c r="AW34" i="14"/>
  <c r="AT24" i="21"/>
  <c r="AT50" i="16"/>
  <c r="AU24" i="20"/>
  <c r="AV78" i="7"/>
  <c r="AV21" i="20"/>
  <c r="AU21" i="18"/>
  <c r="AU21" i="19"/>
  <c r="AU21" i="21"/>
  <c r="AU80" i="7"/>
  <c r="AY8" i="22"/>
  <c r="AY8" i="19"/>
  <c r="AY10" i="23"/>
  <c r="AS17" i="19"/>
  <c r="AS18" i="19"/>
  <c r="AS27" i="19"/>
  <c r="AS30" i="19"/>
  <c r="AS17" i="20"/>
  <c r="AS18" i="20"/>
  <c r="AS27" i="20"/>
  <c r="AS30" i="20"/>
  <c r="AS17" i="22"/>
  <c r="AS18" i="22"/>
  <c r="AS27" i="22"/>
  <c r="AS30" i="22"/>
  <c r="AS18" i="23"/>
  <c r="AS27" i="23"/>
  <c r="AS30" i="23"/>
  <c r="AU33" i="15"/>
  <c r="AU37" i="15"/>
  <c r="AU44" i="15"/>
  <c r="AU46" i="15"/>
  <c r="AU50" i="15"/>
  <c r="AV48" i="15"/>
  <c r="AU37" i="16"/>
  <c r="AU44" i="16"/>
  <c r="AU46" i="16"/>
  <c r="AT33" i="13"/>
  <c r="AT37" i="13"/>
  <c r="AT44" i="13"/>
  <c r="AT46" i="13"/>
  <c r="AT50" i="13"/>
  <c r="AU48" i="13"/>
  <c r="AV33" i="16"/>
  <c r="AV33" i="14"/>
  <c r="AV37" i="14"/>
  <c r="AV44" i="14"/>
  <c r="AV46" i="14"/>
  <c r="AV50" i="14"/>
  <c r="AW48" i="14"/>
  <c r="AV172" i="8"/>
  <c r="AV174" i="8"/>
  <c r="AX12" i="19"/>
  <c r="AX10" i="19"/>
  <c r="AY10" i="21"/>
  <c r="AY12" i="21"/>
  <c r="AZ8" i="21"/>
  <c r="AT17" i="18"/>
  <c r="AT18" i="18"/>
  <c r="AT27" i="18"/>
  <c r="AT30" i="18"/>
  <c r="AT17" i="21"/>
  <c r="AT18" i="21"/>
  <c r="AT27" i="21"/>
  <c r="AT30" i="21"/>
  <c r="AT17" i="23"/>
  <c r="AU48" i="16"/>
  <c r="AW170" i="8"/>
  <c r="AW68" i="7"/>
  <c r="AW72" i="7"/>
  <c r="AW74" i="7"/>
  <c r="AW76" i="7"/>
  <c r="J68" i="6"/>
  <c r="J72" i="6"/>
  <c r="J74" i="6"/>
  <c r="J76" i="6"/>
  <c r="AU21" i="23"/>
  <c r="AX10" i="22"/>
  <c r="AX12" i="22"/>
  <c r="AX34" i="14"/>
  <c r="AV34" i="13"/>
  <c r="AX34" i="16"/>
  <c r="AX166" i="8"/>
  <c r="AZ10" i="21"/>
  <c r="AZ12" i="21"/>
  <c r="BA8" i="21"/>
  <c r="AV24" i="20"/>
  <c r="AU33" i="13"/>
  <c r="AU37" i="13"/>
  <c r="AU44" i="13"/>
  <c r="AU46" i="13"/>
  <c r="AU50" i="13"/>
  <c r="AV48" i="13"/>
  <c r="AW33" i="14"/>
  <c r="AW37" i="14"/>
  <c r="AW44" i="14"/>
  <c r="AW46" i="14"/>
  <c r="AW50" i="14"/>
  <c r="AX48" i="14"/>
  <c r="AW33" i="16"/>
  <c r="AW172" i="8"/>
  <c r="AW174" i="8"/>
  <c r="AV33" i="15"/>
  <c r="AV37" i="15"/>
  <c r="AV44" i="15"/>
  <c r="AV46" i="15"/>
  <c r="AV50" i="15"/>
  <c r="AW48" i="15"/>
  <c r="AV37" i="16"/>
  <c r="AV44" i="16"/>
  <c r="AV46" i="16"/>
  <c r="AY10" i="22"/>
  <c r="AY34" i="14"/>
  <c r="AW34" i="13"/>
  <c r="AY166" i="8"/>
  <c r="AY34" i="16"/>
  <c r="AY34" i="15"/>
  <c r="AV80" i="7"/>
  <c r="AY12" i="22"/>
  <c r="AX34" i="15"/>
  <c r="AY12" i="23"/>
  <c r="AZ8" i="23"/>
  <c r="AV21" i="19"/>
  <c r="AU24" i="19"/>
  <c r="AW78" i="7"/>
  <c r="AW21" i="20"/>
  <c r="AW80" i="7"/>
  <c r="AV21" i="21"/>
  <c r="AU24" i="21"/>
  <c r="K68" i="6"/>
  <c r="K72" i="6"/>
  <c r="K74" i="6"/>
  <c r="K76" i="6"/>
  <c r="AX170" i="8"/>
  <c r="AX68" i="7"/>
  <c r="AX72" i="7"/>
  <c r="AX74" i="7"/>
  <c r="AX76" i="7"/>
  <c r="AU21" i="22"/>
  <c r="AU24" i="22"/>
  <c r="AU24" i="23"/>
  <c r="AV21" i="23"/>
  <c r="AT17" i="19"/>
  <c r="AT18" i="19"/>
  <c r="AT27" i="19"/>
  <c r="AT30" i="19"/>
  <c r="AT17" i="22"/>
  <c r="AT18" i="22"/>
  <c r="AT27" i="22"/>
  <c r="AT30" i="22"/>
  <c r="AT17" i="20"/>
  <c r="AT18" i="20"/>
  <c r="AT27" i="20"/>
  <c r="AT30" i="20"/>
  <c r="AT18" i="23"/>
  <c r="AT27" i="23"/>
  <c r="AT30" i="23"/>
  <c r="AU50" i="16"/>
  <c r="AY10" i="19"/>
  <c r="AY12" i="19"/>
  <c r="AU35" i="22"/>
  <c r="AV35" i="22"/>
  <c r="AW35" i="22"/>
  <c r="AU35" i="21"/>
  <c r="AU35" i="19"/>
  <c r="AU35" i="18"/>
  <c r="AU35" i="20"/>
  <c r="AV35" i="20"/>
  <c r="AW35" i="20"/>
  <c r="AU35" i="23"/>
  <c r="AV21" i="18"/>
  <c r="AU24" i="18"/>
  <c r="AW24" i="20"/>
  <c r="BA10" i="21"/>
  <c r="BA12" i="21"/>
  <c r="AZ8" i="19"/>
  <c r="AZ10" i="23"/>
  <c r="AZ8" i="22"/>
  <c r="AZ12" i="23"/>
  <c r="BA8" i="23"/>
  <c r="AV35" i="18"/>
  <c r="AW35" i="18"/>
  <c r="AW33" i="15"/>
  <c r="AW37" i="15"/>
  <c r="AW44" i="15"/>
  <c r="AW46" i="15"/>
  <c r="AW50" i="15"/>
  <c r="AX48" i="15"/>
  <c r="AW37" i="16"/>
  <c r="AW44" i="16"/>
  <c r="AW46" i="16"/>
  <c r="AV21" i="22"/>
  <c r="AV24" i="22"/>
  <c r="AW21" i="23"/>
  <c r="AV24" i="23"/>
  <c r="AW21" i="18"/>
  <c r="AV24" i="18"/>
  <c r="AV35" i="19"/>
  <c r="AW35" i="19"/>
  <c r="AY68" i="7"/>
  <c r="AY72" i="7"/>
  <c r="AY74" i="7"/>
  <c r="AY76" i="7"/>
  <c r="L68" i="6"/>
  <c r="L72" i="6"/>
  <c r="L74" i="6"/>
  <c r="L76" i="6"/>
  <c r="AY170" i="8"/>
  <c r="AX33" i="14"/>
  <c r="AX37" i="14"/>
  <c r="AX44" i="14"/>
  <c r="AX46" i="14"/>
  <c r="AX50" i="14"/>
  <c r="AY48" i="14"/>
  <c r="AV33" i="13"/>
  <c r="AV37" i="13"/>
  <c r="AV44" i="13"/>
  <c r="AV46" i="13"/>
  <c r="AV50" i="13"/>
  <c r="AW48" i="13"/>
  <c r="AX33" i="16"/>
  <c r="AX172" i="8"/>
  <c r="AX174" i="8"/>
  <c r="AV35" i="23"/>
  <c r="AU37" i="23"/>
  <c r="AV35" i="21"/>
  <c r="AW35" i="21"/>
  <c r="AU17" i="18"/>
  <c r="AU18" i="18"/>
  <c r="AU27" i="18"/>
  <c r="AU30" i="18"/>
  <c r="AU17" i="21"/>
  <c r="AU18" i="21"/>
  <c r="AU27" i="21"/>
  <c r="AU30" i="21"/>
  <c r="AU17" i="23"/>
  <c r="AV48" i="16"/>
  <c r="AV50" i="16"/>
  <c r="AX78" i="7"/>
  <c r="AX21" i="20"/>
  <c r="AW21" i="21"/>
  <c r="AV24" i="21"/>
  <c r="AV24" i="19"/>
  <c r="AW21" i="19"/>
  <c r="AX24" i="20"/>
  <c r="AV17" i="18"/>
  <c r="AV18" i="18"/>
  <c r="AV27" i="18"/>
  <c r="AV30" i="18"/>
  <c r="AV17" i="21"/>
  <c r="AV18" i="21"/>
  <c r="AV27" i="21"/>
  <c r="AV30" i="21"/>
  <c r="AV17" i="23"/>
  <c r="AW48" i="16"/>
  <c r="AU17" i="20"/>
  <c r="AU18" i="20"/>
  <c r="AU27" i="20"/>
  <c r="AU30" i="20"/>
  <c r="AU17" i="19"/>
  <c r="AU18" i="19"/>
  <c r="AU27" i="19"/>
  <c r="AU30" i="19"/>
  <c r="AU17" i="22"/>
  <c r="AU18" i="22"/>
  <c r="AU27" i="22"/>
  <c r="AU30" i="22"/>
  <c r="AU18" i="23"/>
  <c r="AU27" i="23"/>
  <c r="AU30" i="23"/>
  <c r="AW33" i="13"/>
  <c r="AW37" i="13"/>
  <c r="AW44" i="13"/>
  <c r="AW46" i="13"/>
  <c r="AW50" i="13"/>
  <c r="AX48" i="13"/>
  <c r="AY33" i="14"/>
  <c r="AY37" i="14"/>
  <c r="AY44" i="14"/>
  <c r="AY46" i="14"/>
  <c r="AY50" i="14"/>
  <c r="AZ48" i="14"/>
  <c r="AY33" i="16"/>
  <c r="AY172" i="8"/>
  <c r="AY174" i="8"/>
  <c r="AX35" i="19"/>
  <c r="AX21" i="23"/>
  <c r="AW24" i="23"/>
  <c r="AW21" i="22"/>
  <c r="AW24" i="22"/>
  <c r="AZ12" i="22"/>
  <c r="AX33" i="15"/>
  <c r="AX37" i="15"/>
  <c r="AX44" i="15"/>
  <c r="AX46" i="15"/>
  <c r="AX50" i="15"/>
  <c r="AY48" i="15"/>
  <c r="AX37" i="16"/>
  <c r="AX44" i="16"/>
  <c r="AX46" i="16"/>
  <c r="BA8" i="19"/>
  <c r="BA12" i="23"/>
  <c r="BA10" i="23"/>
  <c r="BA8" i="22"/>
  <c r="AX21" i="21"/>
  <c r="AW24" i="21"/>
  <c r="AX21" i="19"/>
  <c r="AW24" i="19"/>
  <c r="AX80" i="7"/>
  <c r="AX35" i="21"/>
  <c r="AY35" i="21"/>
  <c r="AW35" i="23"/>
  <c r="AV37" i="23"/>
  <c r="AZ10" i="22"/>
  <c r="AX34" i="13"/>
  <c r="AZ34" i="16"/>
  <c r="AZ34" i="14"/>
  <c r="AZ166" i="8"/>
  <c r="AW50" i="16"/>
  <c r="AY80" i="7"/>
  <c r="AY78" i="7"/>
  <c r="AY21" i="20"/>
  <c r="AW24" i="18"/>
  <c r="AX21" i="18"/>
  <c r="AX35" i="18"/>
  <c r="AY35" i="18"/>
  <c r="AZ12" i="19"/>
  <c r="AZ10" i="19"/>
  <c r="AY24" i="20"/>
  <c r="AY21" i="21"/>
  <c r="AX24" i="21"/>
  <c r="AX35" i="23"/>
  <c r="AW37" i="23"/>
  <c r="AY21" i="18"/>
  <c r="AX24" i="18"/>
  <c r="BA10" i="19"/>
  <c r="BA12" i="19"/>
  <c r="AZ68" i="7"/>
  <c r="AZ72" i="7"/>
  <c r="AZ74" i="7"/>
  <c r="AZ76" i="7"/>
  <c r="AZ170" i="8"/>
  <c r="M68" i="6"/>
  <c r="M72" i="6"/>
  <c r="M74" i="6"/>
  <c r="M76" i="6"/>
  <c r="G8" i="17"/>
  <c r="AY33" i="15"/>
  <c r="AY37" i="15"/>
  <c r="AY44" i="15"/>
  <c r="AY46" i="15"/>
  <c r="AY50" i="15"/>
  <c r="AZ48" i="15"/>
  <c r="AY37" i="16"/>
  <c r="AY44" i="16"/>
  <c r="AY46" i="16"/>
  <c r="AZ34" i="15"/>
  <c r="AY35" i="19"/>
  <c r="AW17" i="18"/>
  <c r="AW18" i="18"/>
  <c r="AW27" i="18"/>
  <c r="AW30" i="18"/>
  <c r="AW17" i="23"/>
  <c r="AW17" i="21"/>
  <c r="AW18" i="21"/>
  <c r="AW27" i="21"/>
  <c r="AW30" i="21"/>
  <c r="AX48" i="16"/>
  <c r="AX50" i="16"/>
  <c r="AX35" i="20"/>
  <c r="AY35" i="20"/>
  <c r="AX35" i="22"/>
  <c r="AY35" i="22"/>
  <c r="AY21" i="19"/>
  <c r="AX24" i="19"/>
  <c r="BA10" i="22"/>
  <c r="G10" i="17"/>
  <c r="AY34" i="13"/>
  <c r="BA34" i="14"/>
  <c r="BA34" i="16"/>
  <c r="BA34" i="15"/>
  <c r="BA166" i="8"/>
  <c r="AX21" i="22"/>
  <c r="AX24" i="22"/>
  <c r="AY21" i="23"/>
  <c r="AX24" i="23"/>
  <c r="AV17" i="19"/>
  <c r="AV18" i="19"/>
  <c r="AV27" i="19"/>
  <c r="AV30" i="19"/>
  <c r="AV17" i="20"/>
  <c r="AV18" i="20"/>
  <c r="AV27" i="20"/>
  <c r="AV30" i="20"/>
  <c r="AV17" i="22"/>
  <c r="AV18" i="22"/>
  <c r="AV27" i="22"/>
  <c r="AV30" i="22"/>
  <c r="AV18" i="23"/>
  <c r="AV27" i="23"/>
  <c r="AV30" i="23"/>
  <c r="AX17" i="18"/>
  <c r="AX18" i="18"/>
  <c r="AX27" i="18"/>
  <c r="AX30" i="18"/>
  <c r="AX17" i="23"/>
  <c r="AY48" i="16"/>
  <c r="AX17" i="21"/>
  <c r="AX18" i="21"/>
  <c r="AX27" i="21"/>
  <c r="AX30" i="21"/>
  <c r="AZ80" i="7"/>
  <c r="AZ78" i="7"/>
  <c r="AZ21" i="20"/>
  <c r="AZ21" i="21"/>
  <c r="AY24" i="21"/>
  <c r="BC34" i="15"/>
  <c r="AZ35" i="19"/>
  <c r="AY50" i="16"/>
  <c r="BA12" i="22"/>
  <c r="BA170" i="8"/>
  <c r="BA68" i="7"/>
  <c r="BA72" i="7"/>
  <c r="BA74" i="7"/>
  <c r="BA76" i="7"/>
  <c r="N68" i="6"/>
  <c r="G12" i="17"/>
  <c r="AZ21" i="18"/>
  <c r="AY24" i="18"/>
  <c r="AY21" i="22"/>
  <c r="AY24" i="22"/>
  <c r="AZ21" i="23"/>
  <c r="AY24" i="23"/>
  <c r="AY35" i="23"/>
  <c r="AX37" i="23"/>
  <c r="AZ35" i="20"/>
  <c r="AZ21" i="19"/>
  <c r="AY24" i="19"/>
  <c r="AZ35" i="22"/>
  <c r="AW17" i="19"/>
  <c r="AW18" i="19"/>
  <c r="AW27" i="19"/>
  <c r="AW30" i="19"/>
  <c r="AW17" i="20"/>
  <c r="AW18" i="20"/>
  <c r="AW27" i="20"/>
  <c r="AW30" i="20"/>
  <c r="AW17" i="22"/>
  <c r="AW18" i="22"/>
  <c r="AW27" i="22"/>
  <c r="AW30" i="22"/>
  <c r="AW18" i="23"/>
  <c r="AW27" i="23"/>
  <c r="AW30" i="23"/>
  <c r="AX33" i="13"/>
  <c r="AX37" i="13"/>
  <c r="AX44" i="13"/>
  <c r="AX46" i="13"/>
  <c r="AX50" i="13"/>
  <c r="AY48" i="13"/>
  <c r="AZ33" i="14"/>
  <c r="AZ37" i="14"/>
  <c r="AZ44" i="14"/>
  <c r="AZ46" i="14"/>
  <c r="AZ50" i="14"/>
  <c r="BA48" i="14"/>
  <c r="AZ33" i="16"/>
  <c r="AZ172" i="8"/>
  <c r="AZ174" i="8"/>
  <c r="BA78" i="7"/>
  <c r="BA80" i="7"/>
  <c r="BA35" i="19"/>
  <c r="BA21" i="21"/>
  <c r="BA24" i="21"/>
  <c r="AZ24" i="21"/>
  <c r="N72" i="6"/>
  <c r="N74" i="6"/>
  <c r="N76" i="6"/>
  <c r="P68" i="6"/>
  <c r="AY17" i="18"/>
  <c r="AY18" i="18"/>
  <c r="AY27" i="18"/>
  <c r="AY30" i="18"/>
  <c r="AY17" i="21"/>
  <c r="AY18" i="21"/>
  <c r="AY27" i="21"/>
  <c r="AY30" i="21"/>
  <c r="AZ48" i="16"/>
  <c r="AY17" i="23"/>
  <c r="AZ35" i="23"/>
  <c r="AY37" i="23"/>
  <c r="AZ24" i="19"/>
  <c r="BA21" i="19"/>
  <c r="BA24" i="19"/>
  <c r="BA21" i="18"/>
  <c r="BA24" i="18"/>
  <c r="AZ24" i="18"/>
  <c r="BA33" i="16"/>
  <c r="AY33" i="13"/>
  <c r="AY37" i="13"/>
  <c r="AY44" i="13"/>
  <c r="AY46" i="13"/>
  <c r="AY50" i="13"/>
  <c r="BA33" i="14"/>
  <c r="BA37" i="14"/>
  <c r="BA44" i="14"/>
  <c r="BA46" i="14"/>
  <c r="BA50" i="14"/>
  <c r="BA172" i="8"/>
  <c r="BA174" i="8"/>
  <c r="BA21" i="20"/>
  <c r="BA24" i="20"/>
  <c r="AZ24" i="20"/>
  <c r="AX17" i="19"/>
  <c r="AX18" i="19"/>
  <c r="AX27" i="19"/>
  <c r="AX30" i="19"/>
  <c r="AX17" i="20"/>
  <c r="AX18" i="20"/>
  <c r="AX27" i="20"/>
  <c r="AX30" i="20"/>
  <c r="AX17" i="22"/>
  <c r="AX18" i="22"/>
  <c r="AX27" i="22"/>
  <c r="AX30" i="22"/>
  <c r="AX18" i="23"/>
  <c r="AX27" i="23"/>
  <c r="AX30" i="23"/>
  <c r="AZ33" i="15"/>
  <c r="AZ37" i="15"/>
  <c r="AZ44" i="15"/>
  <c r="AZ46" i="15"/>
  <c r="AZ50" i="15"/>
  <c r="BA48" i="15"/>
  <c r="AZ37" i="16"/>
  <c r="AZ44" i="16"/>
  <c r="AZ46" i="16"/>
  <c r="AZ50" i="16"/>
  <c r="BA35" i="22"/>
  <c r="G35" i="17"/>
  <c r="G37" i="17"/>
  <c r="BA35" i="20"/>
  <c r="BA21" i="23"/>
  <c r="AZ21" i="22"/>
  <c r="AZ24" i="22"/>
  <c r="AZ24" i="23"/>
  <c r="AZ35" i="18"/>
  <c r="BA35" i="18"/>
  <c r="AZ35" i="21"/>
  <c r="BA35" i="21"/>
  <c r="AY17" i="20"/>
  <c r="AY18" i="20"/>
  <c r="AY27" i="20"/>
  <c r="AY30" i="20"/>
  <c r="AY17" i="19"/>
  <c r="AY18" i="19"/>
  <c r="AY27" i="19"/>
  <c r="AY30" i="19"/>
  <c r="AY17" i="22"/>
  <c r="AY18" i="22"/>
  <c r="AY27" i="22"/>
  <c r="AY30" i="22"/>
  <c r="AY18" i="23"/>
  <c r="AY27" i="23"/>
  <c r="AY30" i="23"/>
  <c r="P72" i="6"/>
  <c r="P74" i="6"/>
  <c r="P76" i="6"/>
  <c r="G68" i="1"/>
  <c r="BA24" i="23"/>
  <c r="BA21" i="22"/>
  <c r="BA33" i="15"/>
  <c r="BA37" i="16"/>
  <c r="BA44" i="16"/>
  <c r="BA46" i="16"/>
  <c r="BA35" i="23"/>
  <c r="BA37" i="23"/>
  <c r="AZ37" i="23"/>
  <c r="AZ17" i="18"/>
  <c r="AZ18" i="18"/>
  <c r="AZ27" i="18"/>
  <c r="AZ30" i="18"/>
  <c r="AZ17" i="21"/>
  <c r="AZ18" i="21"/>
  <c r="AZ27" i="21"/>
  <c r="AZ30" i="21"/>
  <c r="AZ17" i="23"/>
  <c r="BA48" i="16"/>
  <c r="AZ17" i="20"/>
  <c r="AZ18" i="20"/>
  <c r="AZ27" i="20"/>
  <c r="AZ30" i="20"/>
  <c r="AZ17" i="19"/>
  <c r="AZ18" i="19"/>
  <c r="AZ27" i="19"/>
  <c r="AZ30" i="19"/>
  <c r="AZ17" i="22"/>
  <c r="AZ18" i="22"/>
  <c r="AZ27" i="22"/>
  <c r="AZ30" i="22"/>
  <c r="AZ18" i="23"/>
  <c r="AZ27" i="23"/>
  <c r="AZ30" i="23"/>
  <c r="BA24" i="22"/>
  <c r="G21" i="17"/>
  <c r="G24" i="17"/>
  <c r="BA50" i="16"/>
  <c r="G72" i="1"/>
  <c r="G74" i="1"/>
  <c r="G76" i="1"/>
  <c r="I68" i="1"/>
  <c r="I72" i="1"/>
  <c r="I74" i="1"/>
  <c r="I76" i="1"/>
  <c r="BC33" i="15"/>
  <c r="BC37" i="15"/>
  <c r="BC44" i="15"/>
  <c r="BA37" i="15"/>
  <c r="BA44" i="15"/>
  <c r="BA46" i="15"/>
  <c r="G78" i="1"/>
  <c r="G80" i="1"/>
  <c r="BA50" i="15"/>
  <c r="BC46" i="15"/>
  <c r="BC50" i="15"/>
  <c r="BA17" i="18"/>
  <c r="BA18" i="18"/>
  <c r="BA27" i="18"/>
  <c r="BA30" i="18"/>
  <c r="BA17" i="21"/>
  <c r="BA18" i="21"/>
  <c r="BA27" i="21"/>
  <c r="BA30" i="21"/>
  <c r="BA17" i="23"/>
  <c r="BA17" i="19"/>
  <c r="BA18" i="19"/>
  <c r="BA27" i="19"/>
  <c r="BA30" i="19"/>
  <c r="BA17" i="20"/>
  <c r="BA18" i="20"/>
  <c r="BA27" i="20"/>
  <c r="BA30" i="20"/>
  <c r="BA17" i="22"/>
  <c r="BA18" i="23"/>
  <c r="BA27" i="23"/>
  <c r="BA30" i="23"/>
  <c r="D65" i="13"/>
  <c r="D65" i="15"/>
  <c r="D65" i="14"/>
  <c r="D65" i="16"/>
  <c r="I78" i="1"/>
  <c r="I80" i="1"/>
  <c r="G17" i="17"/>
  <c r="G18" i="17"/>
  <c r="G27" i="17"/>
  <c r="G30" i="17"/>
  <c r="BA18" i="22"/>
  <c r="BA27" i="22"/>
  <c r="BA30" i="22"/>
  <c r="G65" i="16"/>
  <c r="I65" i="16"/>
  <c r="J65" i="16"/>
  <c r="G65" i="14"/>
  <c r="I65" i="14"/>
  <c r="J65" i="14"/>
  <c r="G65" i="15"/>
  <c r="L65" i="15"/>
  <c r="I65" i="15"/>
  <c r="G65" i="13"/>
  <c r="I65" i="13"/>
  <c r="L65" i="13"/>
  <c r="J65" i="15"/>
  <c r="L65" i="16"/>
  <c r="J65" i="13"/>
  <c r="L65" i="14"/>
</calcChain>
</file>

<file path=xl/sharedStrings.xml><?xml version="1.0" encoding="utf-8"?>
<sst xmlns="http://schemas.openxmlformats.org/spreadsheetml/2006/main" count="2374" uniqueCount="255">
  <si>
    <t>COBAN FERRIES</t>
  </si>
  <si>
    <t>PROFIT AND LOSS ACCOUNT</t>
  </si>
  <si>
    <t>PERIOD ENDED 31 MARCH 2010</t>
  </si>
  <si>
    <t>Total</t>
  </si>
  <si>
    <t>3 legs a day</t>
  </si>
  <si>
    <t>(3 mths)</t>
  </si>
  <si>
    <t>(year)</t>
  </si>
  <si>
    <t>Income</t>
  </si>
  <si>
    <t>Tickets</t>
  </si>
  <si>
    <t>Food and drinks etc</t>
  </si>
  <si>
    <t>Bar</t>
  </si>
  <si>
    <t>Shop</t>
  </si>
  <si>
    <t>Games</t>
  </si>
  <si>
    <t>Conference</t>
  </si>
  <si>
    <t>Membership</t>
  </si>
  <si>
    <t>Online</t>
  </si>
  <si>
    <t>Side tours</t>
  </si>
  <si>
    <t>Other income</t>
  </si>
  <si>
    <t>Total Income</t>
  </si>
  <si>
    <t>Expenses</t>
  </si>
  <si>
    <t>Cruising</t>
  </si>
  <si>
    <t>Artists</t>
  </si>
  <si>
    <t>Other activities</t>
  </si>
  <si>
    <t>Cost of Sales Onboard</t>
  </si>
  <si>
    <t>Ship Costs</t>
  </si>
  <si>
    <t>Charter costs</t>
  </si>
  <si>
    <t>Management fees</t>
  </si>
  <si>
    <t>Fuel</t>
  </si>
  <si>
    <t>Washing and cleaning</t>
  </si>
  <si>
    <t>Line handlers / portsmen</t>
  </si>
  <si>
    <t>4 hours stop fee</t>
  </si>
  <si>
    <t>Passenger fee</t>
  </si>
  <si>
    <t>Water</t>
  </si>
  <si>
    <t>Refuse collection</t>
  </si>
  <si>
    <t>Incheck</t>
  </si>
  <si>
    <t>Cherbourg fees</t>
  </si>
  <si>
    <t>France operations</t>
  </si>
  <si>
    <t>Pilot fees</t>
  </si>
  <si>
    <t>Marketing and Sales Costs</t>
  </si>
  <si>
    <t>Advertising</t>
  </si>
  <si>
    <t>Discounts, Travel agents</t>
  </si>
  <si>
    <t>Web page booking system</t>
  </si>
  <si>
    <t>Other expenses</t>
  </si>
  <si>
    <t>Administration costs</t>
  </si>
  <si>
    <t>Office</t>
  </si>
  <si>
    <t>Management handling</t>
  </si>
  <si>
    <t>Legal and professional fees</t>
  </si>
  <si>
    <t>Economy department</t>
  </si>
  <si>
    <t>Other</t>
  </si>
  <si>
    <t>Salaries</t>
  </si>
  <si>
    <t>Financial Costs</t>
  </si>
  <si>
    <t>Depreciation</t>
  </si>
  <si>
    <t>Loan interest</t>
  </si>
  <si>
    <t>Interest payable</t>
  </si>
  <si>
    <t>Interest received</t>
  </si>
  <si>
    <t>Total Expenses</t>
  </si>
  <si>
    <t>Net Profit / (Loss)</t>
  </si>
  <si>
    <t>Corporation Tax @ 30%</t>
  </si>
  <si>
    <t>Net Profit After Tax</t>
  </si>
  <si>
    <t>3 MONTHS ENDED 31 MARCH 2006</t>
  </si>
  <si>
    <t>Jan</t>
  </si>
  <si>
    <t>Feb</t>
  </si>
  <si>
    <t>Mar</t>
  </si>
  <si>
    <t>YEAR ENDED 31 MARCH 2007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</si>
  <si>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</si>
  <si>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</si>
  <si>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</si>
  <si>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</si>
  <si>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</si>
  <si>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</si>
  <si>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</si>
  <si>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</si>
  <si>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</si>
  <si>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Line handlers Portsmouth</t>
  </si>
  <si>
    <t>Berthing Dues Portsmouth</t>
  </si>
  <si>
    <t>Passenge/Truck fees Portsmouth</t>
  </si>
  <si>
    <t>Check In Portsmouth SMS</t>
  </si>
  <si>
    <t>YEAR ENDED 31 MARCH 2008</t>
  </si>
  <si>
    <t>YEAR ENDED 31 MARCH 2009</t>
  </si>
  <si>
    <t>YEAR ENDED 31 MARCH 2010</t>
  </si>
  <si>
    <t>STANDARD PROFIT AND LOSS ACCOUNT</t>
  </si>
  <si>
    <t>YEAR ENDED 31 MARCH</t>
  </si>
  <si>
    <t>PROFIT AND LOSS ACCOUNT WORKINGS</t>
  </si>
  <si>
    <t>1st Leg</t>
  </si>
  <si>
    <t>Trucks</t>
  </si>
  <si>
    <t>Cars</t>
  </si>
  <si>
    <t>2nd Leg</t>
  </si>
  <si>
    <t>% of 2nd Leg</t>
  </si>
  <si>
    <t>3rd Leg</t>
  </si>
  <si>
    <t>% of 3rd Leg</t>
  </si>
  <si>
    <t>2nd Leg income</t>
  </si>
  <si>
    <t>3rd Leg income</t>
  </si>
  <si>
    <t>Total daily income</t>
  </si>
  <si>
    <t>No of days operating</t>
  </si>
  <si>
    <t>Monthly Ticket income</t>
  </si>
  <si>
    <t>No. of People on Board</t>
  </si>
  <si>
    <t>1st Return</t>
  </si>
  <si>
    <t>2nd Return</t>
  </si>
  <si>
    <t>% of 2nd Return</t>
  </si>
  <si>
    <t>Total car passengers</t>
  </si>
  <si>
    <t>Daily Food income</t>
  </si>
  <si>
    <t>Average Spend per Car Passenger</t>
  </si>
  <si>
    <t>Income on Board</t>
  </si>
  <si>
    <t>Average Daily Spend</t>
  </si>
  <si>
    <t>Other Income</t>
  </si>
  <si>
    <t>Cost/ Sales %</t>
  </si>
  <si>
    <t>Based on 250,000 pa</t>
  </si>
  <si>
    <t>Food and drinks</t>
  </si>
  <si>
    <t>Total Fuel</t>
  </si>
  <si>
    <t>Total Line handlers</t>
  </si>
  <si>
    <t>Total 4 hours stop fee</t>
  </si>
  <si>
    <t>Total Passenger fee</t>
  </si>
  <si>
    <t>Total Incheck fees</t>
  </si>
  <si>
    <t>Total Cherbourg fees</t>
  </si>
  <si>
    <t>Total France Operation fees</t>
  </si>
  <si>
    <t>Total Pilot fees</t>
  </si>
  <si>
    <t>Loan Interest</t>
  </si>
  <si>
    <t>1st return</t>
  </si>
  <si>
    <t>2nd return</t>
  </si>
  <si>
    <t>Restaurants</t>
  </si>
  <si>
    <t>SMS check in</t>
  </si>
  <si>
    <t xml:space="preserve"> Ship salaries</t>
  </si>
  <si>
    <t>VARIABLES</t>
  </si>
  <si>
    <t>FIRST LEG (Daily Rates)</t>
  </si>
  <si>
    <t>Number of Trucks</t>
  </si>
  <si>
    <t>2005 - 2006</t>
  </si>
  <si>
    <t>2006 - 2007</t>
  </si>
  <si>
    <t>2007 - 2008</t>
  </si>
  <si>
    <t>2008 - 2009</t>
  </si>
  <si>
    <t>per m</t>
  </si>
  <si>
    <t>2009 - 2010</t>
  </si>
  <si>
    <t>Number of Cars</t>
  </si>
  <si>
    <t>Truck Fee (single fare) - net of VAT</t>
  </si>
  <si>
    <t>Car Fee (single fare) – deduct VAT</t>
  </si>
  <si>
    <t>SECOND LEG (Daily Rates)</t>
  </si>
  <si>
    <t>Truck Fee (single fare)</t>
  </si>
  <si>
    <t>Car Fee (single fare)</t>
  </si>
  <si>
    <t>% of time Second Leg is made</t>
  </si>
  <si>
    <t>THIRD LEG (Daily Rates)</t>
  </si>
  <si>
    <t>% of time Third Leg is made (6 days out of 7)</t>
  </si>
  <si>
    <t>DAYS IN MONTH (do not change from 350)</t>
  </si>
  <si>
    <t>Total Days in Month</t>
  </si>
  <si>
    <t>Days Not Available</t>
  </si>
  <si>
    <t>Days Available</t>
  </si>
  <si>
    <t>AVERAGE DAILY SPEND ON BOARD - OTHER INCOME</t>
  </si>
  <si>
    <t>NUMBER OF PEOPLE ON BOARD</t>
  </si>
  <si>
    <t>1st LEG</t>
  </si>
  <si>
    <t>avarage</t>
  </si>
  <si>
    <t>2nd LEG</t>
  </si>
  <si>
    <t>3rd LEG</t>
  </si>
  <si>
    <t>NUMBER OF CAR DRIVERS</t>
  </si>
  <si>
    <t>COS/SALES % ON FOOD, DRINKS ETC</t>
  </si>
  <si>
    <t>AVERAGE SPEND ON BOARD</t>
  </si>
  <si>
    <t>CASHFLOW WORKINGS</t>
  </si>
  <si>
    <t>YEAR ENDED 31 MARCH 2006</t>
  </si>
  <si>
    <t>Funds In</t>
  </si>
  <si>
    <t>Investment Funds - Shares</t>
  </si>
  <si>
    <t>Ticket</t>
  </si>
  <si>
    <t>VAT on Ticket</t>
  </si>
  <si>
    <t>Restaurant etc</t>
  </si>
  <si>
    <t>VAT on Restaurant</t>
  </si>
  <si>
    <t>Refund of Deposit</t>
  </si>
  <si>
    <t>Other Loans</t>
  </si>
  <si>
    <t>Funds Out</t>
  </si>
  <si>
    <t>Deposit on Ferry</t>
  </si>
  <si>
    <t>VAT on Artists</t>
  </si>
  <si>
    <t>VAT on drinks (50%)</t>
  </si>
  <si>
    <t>Shipping Costs</t>
  </si>
  <si>
    <t>VAT on ship costs (10%)</t>
  </si>
  <si>
    <t>Marketing costs</t>
  </si>
  <si>
    <t>VAT on marketing costs</t>
  </si>
  <si>
    <t>Admin costs</t>
  </si>
  <si>
    <t>VAT on admin costs</t>
  </si>
  <si>
    <t>Financial costs</t>
  </si>
  <si>
    <t>less Depreciation</t>
  </si>
  <si>
    <t>Initial Stocking costs</t>
  </si>
  <si>
    <t>VAT on stocking costs</t>
  </si>
  <si>
    <t>Fixed Asset Additions</t>
  </si>
  <si>
    <t>Corporation Tax</t>
  </si>
  <si>
    <t>Loan Repayments</t>
  </si>
  <si>
    <t>VAT Payments</t>
  </si>
  <si>
    <t>Net Cashflow movements</t>
  </si>
  <si>
    <t>Cashflows b/fwd</t>
  </si>
  <si>
    <t>Cashflows c/fwd</t>
  </si>
  <si>
    <t>VAT on Others</t>
  </si>
  <si>
    <t>VAT Outputs</t>
  </si>
  <si>
    <t>VAT Inputs</t>
  </si>
  <si>
    <t>Net VAT</t>
  </si>
  <si>
    <t>Year Ended 31 March</t>
  </si>
  <si>
    <t>July</t>
  </si>
  <si>
    <t>C/fwd</t>
  </si>
  <si>
    <t>Payments</t>
  </si>
  <si>
    <t>Note 1st payment of CT not on Quarterly basis unless annual profits are more than £10m.</t>
  </si>
  <si>
    <t>B/fwd</t>
  </si>
  <si>
    <t>Charge</t>
  </si>
  <si>
    <t>April</t>
  </si>
  <si>
    <t>VAT on Other</t>
  </si>
  <si>
    <t>BALANCE SHEET WORKINGS</t>
  </si>
  <si>
    <t>March</t>
  </si>
  <si>
    <t>Fixed Assets</t>
  </si>
  <si>
    <t>Equipment</t>
  </si>
  <si>
    <t>Equipment - additions</t>
  </si>
  <si>
    <t>Equipment - depreciation (20%rb)</t>
  </si>
  <si>
    <t>Current Assets</t>
  </si>
  <si>
    <t>Stock</t>
  </si>
  <si>
    <t>Deposit</t>
  </si>
  <si>
    <t>Bank</t>
  </si>
  <si>
    <t>Current Liabilities</t>
  </si>
  <si>
    <t>VAT Account</t>
  </si>
  <si>
    <t>Loans</t>
  </si>
  <si>
    <t>Net Current Assets</t>
  </si>
  <si>
    <t>Net Assets</t>
  </si>
  <si>
    <t>Share Capital</t>
  </si>
  <si>
    <t>P&amp;L Account Reserves</t>
  </si>
  <si>
    <t>Net Reserves</t>
  </si>
  <si>
    <t>CLIENT</t>
  </si>
  <si>
    <t>Sch Ref:</t>
  </si>
  <si>
    <t>START DATE</t>
  </si>
  <si>
    <t>Client Ref:</t>
  </si>
  <si>
    <t>Prepared by:</t>
  </si>
  <si>
    <t>SUBJECT</t>
  </si>
  <si>
    <t>Reviewed by:</t>
  </si>
  <si>
    <r>
      <t xml:space="preserve">[       ] </t>
    </r>
    <r>
      <rPr>
        <sz val="7"/>
        <rFont val="Arial Narrow"/>
        <family val="2"/>
      </rPr>
      <t>on</t>
    </r>
    <r>
      <rPr>
        <b/>
        <sz val="10"/>
        <rFont val="Arial Narrow"/>
        <family val="2"/>
      </rPr>
      <t xml:space="preserve"> [      </t>
    </r>
    <r>
      <rPr>
        <sz val="7"/>
        <rFont val="Arial Narrow"/>
        <family val="2"/>
      </rPr>
      <t>/      /</t>
    </r>
    <r>
      <rPr>
        <b/>
        <sz val="10"/>
        <rFont val="Arial Narrow"/>
        <family val="2"/>
      </rPr>
      <t xml:space="preserve">      ]  </t>
    </r>
  </si>
  <si>
    <t>Amount Borrowed</t>
  </si>
  <si>
    <t>Period of Loan</t>
  </si>
  <si>
    <t>Number of Payments</t>
  </si>
  <si>
    <t>Calculated  Payment</t>
  </si>
  <si>
    <t>Annual Interest Rate</t>
  </si>
  <si>
    <t>End Date</t>
  </si>
  <si>
    <t>Start Date</t>
  </si>
  <si>
    <t>APR</t>
  </si>
  <si>
    <t>Monthly Interest Rate</t>
  </si>
  <si>
    <t>LOAN CONTROL A/C</t>
  </si>
  <si>
    <t>Month</t>
  </si>
  <si>
    <t>Bal B/fwd</t>
  </si>
  <si>
    <t>Interest</t>
  </si>
  <si>
    <t>Period Int.</t>
  </si>
  <si>
    <t>Bal C/fwd</t>
  </si>
  <si>
    <t>Ferry project</t>
  </si>
  <si>
    <t>Example only</t>
  </si>
  <si>
    <t>Example Only</t>
  </si>
  <si>
    <t/>
  </si>
  <si>
    <t xml:space="preserve">Example Only </t>
  </si>
  <si>
    <t>This is an example, from real life.</t>
  </si>
  <si>
    <t xml:space="preserve">A project for starting a new Ferry line for people and cars and trucks.  </t>
  </si>
  <si>
    <t xml:space="preserve">Yes, it’s a big project so it may contain much more than you need.   </t>
  </si>
  <si>
    <t>This Budget has 26 spreadsheets!! You need to navigate between them.</t>
  </si>
  <si>
    <t xml:space="preserve">Use </t>
  </si>
  <si>
    <t xml:space="preserve">Or what other methode that works for you. </t>
  </si>
  <si>
    <t xml:space="preserve">Note that figures may be picked from or going in between the different spreadsheets.   </t>
  </si>
  <si>
    <t>Budget</t>
  </si>
  <si>
    <t xml:space="preserve">Make Sure you start from top of each spreadsheet as they not always open up on top.    </t>
  </si>
  <si>
    <t xml:space="preserve">Only use for understanding how an advanced budget is made.      </t>
  </si>
  <si>
    <r>
      <rPr>
        <b/>
        <sz val="11"/>
        <color indexed="60"/>
        <rFont val="Calibri"/>
        <family val="2"/>
      </rPr>
      <t xml:space="preserve">Copyright: </t>
    </r>
    <r>
      <rPr>
        <b/>
        <sz val="11"/>
        <rFont val="Calibri"/>
        <family val="2"/>
      </rPr>
      <t>This Budget Example is not to be used commercially.</t>
    </r>
  </si>
  <si>
    <t xml:space="preserve">Part of course.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</si>
</sst>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dd/mm/yyyy"/>
    <numFmt numFmtId="165" formatCode="mmm\ yy"/>
    <numFmt numFmtId="166" formatCode="_-* #,##0.00\ [$€-1]_-;\-* #,##0.00\ [$€-1]_-;_-* \-??\ [$€-1]_-"/>
    <numFmt numFmtId="167" formatCode="#,##0;\(#,##0\)"/>
    <numFmt numFmtId="168" formatCode="0.0%"/>
    <numFmt numFmtId="169" formatCode="#,##0.0;\(#,##0.0\)"/>
    <numFmt numFmtId="170" formatCode="#,##0.00;\(#,##0.00\)"/>
    <numFmt numFmtId="171" formatCode="_-* #,##0.00_-;\-* #,##0.00_-;_-* \-??_-;_-@_-"/>
    <numFmt numFmtId="172" formatCode="#,##0.00_ ;[Red]\-#,##0.00\ "/>
    <numFmt numFmtId="173" formatCode="0&quot; years&quot;"/>
    <numFmt numFmtId="174" formatCode="0&quot; pmts&quot;"/>
    <numFmt numFmtId="175" formatCode="mmm\-yy"/>
    <numFmt numFmtId="176" formatCode="0.00000%"/>
  </numFmts>
  <fonts count="52" x14ac:knownFonts="1">
    <font>
      <sz val="10"/>
      <name val="Arial"/>
    </font>
    <font>
      <b/>
      <u/>
      <sz val="9"/>
      <color indexed="12"/>
      <name val="Arial"/>
    </font>
    <font>
      <sz val="8"/>
      <name val="Arial"/>
    </font>
    <font>
      <b/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0"/>
      <color indexed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9"/>
      <color indexed="53"/>
      <name val="Arial"/>
      <family val="2"/>
    </font>
    <font>
      <b/>
      <sz val="10"/>
      <name val="Arial"/>
    </font>
    <font>
      <sz val="12"/>
      <name val="Arial"/>
    </font>
    <font>
      <sz val="8"/>
      <name val="Arial Narrow"/>
      <family val="2"/>
    </font>
    <font>
      <sz val="12"/>
      <color indexed="9"/>
      <name val="Arial"/>
      <family val="2"/>
    </font>
    <font>
      <b/>
      <sz val="9"/>
      <color indexed="18"/>
      <name val="Arial Narrow"/>
      <family val="2"/>
    </font>
    <font>
      <i/>
      <sz val="9"/>
      <name val="Arial"/>
      <family val="2"/>
    </font>
    <font>
      <sz val="9"/>
      <name val="Arial"/>
    </font>
    <font>
      <b/>
      <sz val="8"/>
      <color indexed="18"/>
      <name val="Arial Narrow"/>
      <family val="2"/>
    </font>
    <font>
      <b/>
      <i/>
      <sz val="10"/>
      <name val="Arial"/>
      <family val="2"/>
    </font>
    <font>
      <b/>
      <sz val="13"/>
      <color indexed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6"/>
      <color indexed="9"/>
      <name val="Arial"/>
      <family val="2"/>
    </font>
    <font>
      <b/>
      <sz val="10"/>
      <name val="Arial Narrow"/>
      <family val="2"/>
    </font>
    <font>
      <sz val="7"/>
      <name val="Arial Narrow"/>
      <family val="2"/>
    </font>
    <font>
      <sz val="8"/>
      <color indexed="9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sz val="8"/>
      <color indexed="12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5"/>
      <color indexed="18"/>
      <name val="Arial"/>
      <family val="2"/>
    </font>
    <font>
      <sz val="7"/>
      <name val="Arial"/>
      <family val="2"/>
    </font>
    <font>
      <sz val="5"/>
      <color indexed="18"/>
      <name val="Arial"/>
      <family val="2"/>
    </font>
    <font>
      <b/>
      <sz val="7"/>
      <color indexed="10"/>
      <name val="Arial"/>
      <family val="2"/>
    </font>
    <font>
      <b/>
      <sz val="7"/>
      <name val="Arial"/>
      <family val="2"/>
    </font>
    <font>
      <b/>
      <sz val="8"/>
      <color indexed="60"/>
      <name val="Arial"/>
      <family val="2"/>
    </font>
    <font>
      <sz val="9"/>
      <name val="Arial"/>
      <family val="2"/>
    </font>
    <font>
      <sz val="9"/>
      <color indexed="60"/>
      <name val="Arial"/>
      <family val="2"/>
    </font>
    <font>
      <sz val="10"/>
      <color indexed="60"/>
      <name val="Arial"/>
      <family val="2"/>
    </font>
    <font>
      <sz val="10"/>
      <name val="Arial"/>
    </font>
    <font>
      <b/>
      <sz val="11"/>
      <name val="Calibri"/>
      <family val="2"/>
    </font>
    <font>
      <b/>
      <sz val="11"/>
      <color indexed="60"/>
      <name val="Calibri"/>
      <family val="2"/>
    </font>
    <font>
      <b/>
      <sz val="11"/>
      <color rgb="FFC00000"/>
      <name val="Calibri"/>
      <family val="2"/>
    </font>
    <font>
      <sz val="26"/>
      <color rgb="FFC00000"/>
      <name val="Arial"/>
      <family val="2"/>
    </font>
    <font>
      <sz val="10"/>
      <color rgb="FFC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62"/>
        <bgColor indexed="56"/>
      </patternFill>
    </fill>
    <fill>
      <patternFill patternType="solid">
        <fgColor indexed="18"/>
        <bgColor indexed="32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/>
      <top style="thin">
        <color indexed="18"/>
      </top>
      <bottom/>
      <diagonal/>
    </border>
  </borders>
  <cellStyleXfs count="8">
    <xf numFmtId="0" fontId="0" fillId="0" borderId="0"/>
    <xf numFmtId="40" fontId="1" fillId="0" borderId="0"/>
    <xf numFmtId="164" fontId="2" fillId="0" borderId="0">
      <alignment horizontal="left"/>
    </xf>
    <xf numFmtId="165" fontId="2" fillId="0" borderId="0">
      <alignment horizontal="left"/>
    </xf>
    <xf numFmtId="166" fontId="46" fillId="0" borderId="0" applyFill="0" applyBorder="0" applyAlignment="0" applyProtection="0"/>
    <xf numFmtId="40" fontId="2" fillId="0" borderId="0"/>
    <xf numFmtId="9" fontId="46" fillId="0" borderId="0" applyFill="0" applyBorder="0" applyAlignment="0" applyProtection="0"/>
    <xf numFmtId="171" fontId="46" fillId="0" borderId="0" applyFill="0" applyBorder="0" applyAlignment="0" applyProtection="0"/>
  </cellStyleXfs>
  <cellXfs count="209">
    <xf numFmtId="0" fontId="0" fillId="0" borderId="0" xfId="0"/>
    <xf numFmtId="167" fontId="0" fillId="0" borderId="0" xfId="0" applyNumberFormat="1"/>
    <xf numFmtId="167" fontId="3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7" fontId="6" fillId="2" borderId="0" xfId="0" applyNumberFormat="1" applyFont="1" applyFill="1"/>
    <xf numFmtId="1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1" fontId="0" fillId="0" borderId="0" xfId="0" applyNumberFormat="1"/>
    <xf numFmtId="1" fontId="8" fillId="0" borderId="0" xfId="0" applyNumberFormat="1" applyFont="1" applyAlignment="1">
      <alignment horizontal="center"/>
    </xf>
    <xf numFmtId="1" fontId="8" fillId="0" borderId="0" xfId="0" applyNumberFormat="1" applyFont="1" applyFill="1" applyAlignment="1">
      <alignment horizontal="center"/>
    </xf>
    <xf numFmtId="1" fontId="3" fillId="0" borderId="0" xfId="0" applyNumberFormat="1" applyFont="1"/>
    <xf numFmtId="167" fontId="0" fillId="0" borderId="0" xfId="0" applyNumberFormat="1" applyBorder="1"/>
    <xf numFmtId="0" fontId="9" fillId="0" borderId="0" xfId="0" applyFont="1"/>
    <xf numFmtId="167" fontId="3" fillId="0" borderId="1" xfId="0" applyNumberFormat="1" applyFont="1" applyBorder="1"/>
    <xf numFmtId="167" fontId="3" fillId="0" borderId="0" xfId="0" applyNumberFormat="1" applyFont="1" applyBorder="1"/>
    <xf numFmtId="0" fontId="10" fillId="0" borderId="0" xfId="0" applyFont="1"/>
    <xf numFmtId="167" fontId="3" fillId="0" borderId="2" xfId="0" applyNumberFormat="1" applyFont="1" applyBorder="1"/>
    <xf numFmtId="0" fontId="11" fillId="0" borderId="0" xfId="0" applyFont="1"/>
    <xf numFmtId="167" fontId="0" fillId="0" borderId="1" xfId="0" applyNumberFormat="1" applyBorder="1"/>
    <xf numFmtId="0" fontId="0" fillId="0" borderId="0" xfId="0" applyBorder="1"/>
    <xf numFmtId="167" fontId="3" fillId="0" borderId="3" xfId="0" applyNumberFormat="1" applyFont="1" applyBorder="1"/>
    <xf numFmtId="167" fontId="12" fillId="0" borderId="0" xfId="0" applyNumberFormat="1" applyFont="1" applyBorder="1"/>
    <xf numFmtId="37" fontId="0" fillId="0" borderId="0" xfId="0" applyNumberFormat="1"/>
    <xf numFmtId="167" fontId="0" fillId="0" borderId="0" xfId="0" applyNumberFormat="1" applyFill="1"/>
    <xf numFmtId="167" fontId="4" fillId="0" borderId="0" xfId="0" applyNumberFormat="1" applyFont="1"/>
    <xf numFmtId="167" fontId="5" fillId="0" borderId="0" xfId="0" applyNumberFormat="1" applyFont="1"/>
    <xf numFmtId="167" fontId="0" fillId="0" borderId="1" xfId="0" applyNumberFormat="1" applyFill="1" applyBorder="1"/>
    <xf numFmtId="9" fontId="13" fillId="0" borderId="0" xfId="0" applyNumberFormat="1" applyFont="1" applyFill="1"/>
    <xf numFmtId="168" fontId="13" fillId="0" borderId="0" xfId="0" applyNumberFormat="1" applyFont="1" applyFill="1"/>
    <xf numFmtId="167" fontId="12" fillId="0" borderId="0" xfId="0" applyNumberFormat="1" applyFont="1" applyFill="1"/>
    <xf numFmtId="167" fontId="12" fillId="0" borderId="1" xfId="0" applyNumberFormat="1" applyFont="1" applyFill="1" applyBorder="1"/>
    <xf numFmtId="167" fontId="0" fillId="0" borderId="0" xfId="0" applyNumberFormat="1" applyFill="1" applyBorder="1"/>
    <xf numFmtId="167" fontId="12" fillId="0" borderId="0" xfId="0" applyNumberFormat="1" applyFont="1"/>
    <xf numFmtId="167" fontId="3" fillId="0" borderId="1" xfId="0" applyNumberFormat="1" applyFont="1" applyFill="1" applyBorder="1"/>
    <xf numFmtId="167" fontId="7" fillId="0" borderId="0" xfId="0" applyNumberFormat="1" applyFont="1"/>
    <xf numFmtId="9" fontId="14" fillId="0" borderId="0" xfId="0" applyNumberFormat="1" applyFont="1" applyFill="1"/>
    <xf numFmtId="169" fontId="0" fillId="0" borderId="0" xfId="0" applyNumberFormat="1" applyFill="1"/>
    <xf numFmtId="167" fontId="3" fillId="0" borderId="2" xfId="0" applyNumberFormat="1" applyFont="1" applyFill="1" applyBorder="1"/>
    <xf numFmtId="167" fontId="3" fillId="0" borderId="0" xfId="0" applyNumberFormat="1" applyFont="1" applyFill="1" applyBorder="1"/>
    <xf numFmtId="167" fontId="9" fillId="0" borderId="0" xfId="0" applyNumberFormat="1" applyFont="1"/>
    <xf numFmtId="167" fontId="10" fillId="0" borderId="0" xfId="0" applyNumberFormat="1" applyFont="1"/>
    <xf numFmtId="167" fontId="11" fillId="0" borderId="0" xfId="0" applyNumberFormat="1" applyFont="1"/>
    <xf numFmtId="9" fontId="0" fillId="0" borderId="0" xfId="0" applyNumberFormat="1" applyFill="1"/>
    <xf numFmtId="3" fontId="0" fillId="0" borderId="0" xfId="0" applyNumberFormat="1" applyFill="1"/>
    <xf numFmtId="167" fontId="3" fillId="0" borderId="0" xfId="0" applyNumberFormat="1" applyFont="1" applyFill="1"/>
    <xf numFmtId="167" fontId="3" fillId="0" borderId="3" xfId="0" applyNumberFormat="1" applyFont="1" applyFill="1" applyBorder="1"/>
    <xf numFmtId="167" fontId="7" fillId="0" borderId="0" xfId="0" applyNumberFormat="1" applyFont="1" applyAlignment="1">
      <alignment horizontal="center"/>
    </xf>
    <xf numFmtId="167" fontId="15" fillId="0" borderId="0" xfId="0" applyNumberFormat="1" applyFont="1"/>
    <xf numFmtId="0" fontId="7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NumberFormat="1"/>
    <xf numFmtId="9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8" fontId="0" fillId="3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70" fontId="0" fillId="0" borderId="0" xfId="0" applyNumberFormat="1" applyFill="1"/>
    <xf numFmtId="167" fontId="0" fillId="0" borderId="0" xfId="0" applyNumberFormat="1" applyFont="1" applyBorder="1"/>
    <xf numFmtId="167" fontId="12" fillId="0" borderId="0" xfId="0" applyNumberFormat="1" applyFont="1" applyFill="1" applyBorder="1"/>
    <xf numFmtId="167" fontId="0" fillId="0" borderId="0" xfId="0" applyNumberFormat="1" applyFont="1"/>
    <xf numFmtId="3" fontId="0" fillId="0" borderId="2" xfId="0" applyNumberFormat="1" applyFill="1" applyBorder="1"/>
    <xf numFmtId="167" fontId="0" fillId="0" borderId="2" xfId="0" applyNumberFormat="1" applyBorder="1"/>
    <xf numFmtId="3" fontId="3" fillId="0" borderId="0" xfId="0" applyNumberFormat="1" applyFont="1" applyFill="1"/>
    <xf numFmtId="3" fontId="3" fillId="0" borderId="1" xfId="0" applyNumberFormat="1" applyFont="1" applyFill="1" applyBorder="1"/>
    <xf numFmtId="167" fontId="0" fillId="0" borderId="2" xfId="0" applyNumberFormat="1" applyFill="1" applyBorder="1"/>
    <xf numFmtId="1" fontId="3" fillId="0" borderId="0" xfId="0" applyNumberFormat="1" applyFont="1" applyAlignment="1">
      <alignment horizontal="left"/>
    </xf>
    <xf numFmtId="171" fontId="0" fillId="0" borderId="0" xfId="7" applyFont="1" applyFill="1" applyBorder="1" applyAlignment="1" applyProtection="1"/>
    <xf numFmtId="167" fontId="16" fillId="0" borderId="0" xfId="0" applyNumberFormat="1" applyFont="1"/>
    <xf numFmtId="3" fontId="0" fillId="0" borderId="1" xfId="0" applyNumberFormat="1" applyFill="1" applyBorder="1"/>
    <xf numFmtId="3" fontId="3" fillId="0" borderId="3" xfId="0" applyNumberFormat="1" applyFont="1" applyFill="1" applyBorder="1"/>
    <xf numFmtId="0" fontId="2" fillId="0" borderId="0" xfId="5" applyNumberFormat="1"/>
    <xf numFmtId="40" fontId="2" fillId="0" borderId="0" xfId="5"/>
    <xf numFmtId="40" fontId="2" fillId="3" borderId="4" xfId="5" applyFill="1" applyBorder="1" applyAlignment="1" applyProtection="1"/>
    <xf numFmtId="40" fontId="2" fillId="3" borderId="4" xfId="5" applyNumberFormat="1" applyFill="1" applyBorder="1" applyAlignment="1"/>
    <xf numFmtId="40" fontId="17" fillId="3" borderId="4" xfId="5" applyFont="1" applyFill="1" applyBorder="1" applyAlignment="1"/>
    <xf numFmtId="40" fontId="18" fillId="4" borderId="5" xfId="5" applyFont="1" applyFill="1" applyBorder="1"/>
    <xf numFmtId="0" fontId="19" fillId="3" borderId="6" xfId="5" applyNumberFormat="1" applyFont="1" applyFill="1" applyBorder="1" applyAlignment="1" applyProtection="1">
      <alignment horizontal="left" indent="1"/>
    </xf>
    <xf numFmtId="40" fontId="19" fillId="3" borderId="0" xfId="5" applyFont="1" applyFill="1" applyBorder="1" applyAlignment="1" applyProtection="1">
      <alignment horizontal="left"/>
    </xf>
    <xf numFmtId="40" fontId="20" fillId="3" borderId="0" xfId="5" applyFont="1" applyFill="1" applyBorder="1" applyAlignment="1" applyProtection="1"/>
    <xf numFmtId="40" fontId="21" fillId="3" borderId="0" xfId="5" applyNumberFormat="1" applyFont="1" applyFill="1" applyBorder="1" applyAlignment="1" applyProtection="1"/>
    <xf numFmtId="40" fontId="22" fillId="3" borderId="0" xfId="5" applyFont="1" applyFill="1" applyBorder="1" applyAlignment="1"/>
    <xf numFmtId="38" fontId="23" fillId="3" borderId="0" xfId="5" applyNumberFormat="1" applyFont="1" applyFill="1" applyBorder="1" applyAlignment="1">
      <alignment horizontal="left" indent="1"/>
    </xf>
    <xf numFmtId="40" fontId="24" fillId="4" borderId="7" xfId="5" applyFont="1" applyFill="1" applyBorder="1" applyAlignment="1">
      <alignment horizontal="center"/>
    </xf>
    <xf numFmtId="164" fontId="25" fillId="3" borderId="0" xfId="5" applyNumberFormat="1" applyFont="1" applyFill="1" applyBorder="1" applyAlignment="1">
      <alignment horizontal="left"/>
    </xf>
    <xf numFmtId="40" fontId="21" fillId="3" borderId="0" xfId="5" applyNumberFormat="1" applyFont="1" applyFill="1" applyBorder="1" applyAlignment="1"/>
    <xf numFmtId="164" fontId="25" fillId="3" borderId="0" xfId="5" applyNumberFormat="1" applyFont="1" applyFill="1" applyBorder="1" applyAlignment="1">
      <alignment horizontal="left" indent="1"/>
    </xf>
    <xf numFmtId="40" fontId="26" fillId="4" borderId="7" xfId="5" applyFont="1" applyFill="1" applyBorder="1" applyAlignment="1">
      <alignment horizontal="center"/>
    </xf>
    <xf numFmtId="40" fontId="2" fillId="3" borderId="0" xfId="5" applyNumberFormat="1" applyFill="1" applyBorder="1" applyAlignment="1">
      <alignment horizontal="left"/>
    </xf>
    <xf numFmtId="40" fontId="25" fillId="3" borderId="0" xfId="5" applyFont="1" applyFill="1" applyBorder="1" applyAlignment="1">
      <alignment horizontal="left" indent="1"/>
    </xf>
    <xf numFmtId="40" fontId="27" fillId="4" borderId="7" xfId="5" applyFont="1" applyFill="1" applyBorder="1" applyAlignment="1">
      <alignment horizontal="center" shrinkToFit="1"/>
    </xf>
    <xf numFmtId="40" fontId="20" fillId="3" borderId="0" xfId="5" applyFont="1" applyFill="1" applyBorder="1" applyAlignment="1"/>
    <xf numFmtId="40" fontId="28" fillId="3" borderId="0" xfId="5" applyFont="1" applyFill="1" applyBorder="1" applyAlignment="1">
      <alignment horizontal="left" indent="1"/>
    </xf>
    <xf numFmtId="40" fontId="27" fillId="4" borderId="7" xfId="5" applyFont="1" applyFill="1" applyBorder="1" applyAlignment="1">
      <alignment horizontal="center" vertical="top" shrinkToFit="1"/>
    </xf>
    <xf numFmtId="0" fontId="2" fillId="3" borderId="8" xfId="5" applyNumberFormat="1" applyFill="1" applyBorder="1" applyAlignment="1" applyProtection="1">
      <alignment horizontal="left" indent="1"/>
    </xf>
    <xf numFmtId="40" fontId="2" fillId="3" borderId="9" xfId="5" applyFill="1" applyBorder="1" applyAlignment="1" applyProtection="1"/>
    <xf numFmtId="40" fontId="2" fillId="3" borderId="9" xfId="5" applyNumberFormat="1" applyFill="1" applyBorder="1" applyAlignment="1"/>
    <xf numFmtId="40" fontId="2" fillId="3" borderId="9" xfId="5" applyFill="1" applyBorder="1" applyAlignment="1"/>
    <xf numFmtId="40" fontId="17" fillId="3" borderId="9" xfId="5" applyFont="1" applyFill="1" applyBorder="1" applyAlignment="1"/>
    <xf numFmtId="40" fontId="30" fillId="4" borderId="10" xfId="5" applyFont="1" applyFill="1" applyBorder="1"/>
    <xf numFmtId="0" fontId="31" fillId="0" borderId="0" xfId="5" applyNumberFormat="1" applyFont="1"/>
    <xf numFmtId="40" fontId="32" fillId="0" borderId="0" xfId="5" applyFont="1" applyBorder="1" applyAlignment="1"/>
    <xf numFmtId="40" fontId="31" fillId="0" borderId="0" xfId="5" applyFont="1"/>
    <xf numFmtId="40" fontId="31" fillId="0" borderId="0" xfId="5" applyFont="1" applyProtection="1"/>
    <xf numFmtId="40" fontId="31" fillId="0" borderId="0" xfId="5" applyFont="1" applyFill="1" applyBorder="1" applyProtection="1"/>
    <xf numFmtId="40" fontId="31" fillId="0" borderId="11" xfId="5" applyFont="1" applyFill="1" applyBorder="1" applyAlignment="1" applyProtection="1">
      <alignment horizontal="left" indent="1"/>
    </xf>
    <xf numFmtId="40" fontId="31" fillId="0" borderId="12" xfId="5" applyFont="1" applyFill="1" applyBorder="1" applyProtection="1"/>
    <xf numFmtId="40" fontId="31" fillId="0" borderId="13" xfId="5" applyFont="1" applyFill="1" applyBorder="1" applyProtection="1"/>
    <xf numFmtId="172" fontId="31" fillId="0" borderId="0" xfId="5" applyNumberFormat="1" applyFont="1" applyFill="1" applyBorder="1" applyProtection="1"/>
    <xf numFmtId="172" fontId="31" fillId="0" borderId="11" xfId="5" applyNumberFormat="1" applyFont="1" applyFill="1" applyBorder="1" applyAlignment="1" applyProtection="1">
      <alignment horizontal="left" indent="1"/>
    </xf>
    <xf numFmtId="40" fontId="31" fillId="0" borderId="12" xfId="5" applyFont="1" applyBorder="1" applyProtection="1"/>
    <xf numFmtId="40" fontId="31" fillId="0" borderId="0" xfId="5" applyFont="1" applyFill="1" applyBorder="1" applyAlignment="1" applyProtection="1">
      <alignment vertical="center"/>
    </xf>
    <xf numFmtId="40" fontId="31" fillId="0" borderId="14" xfId="5" applyFont="1" applyBorder="1" applyAlignment="1">
      <alignment horizontal="left" vertical="center" indent="1"/>
    </xf>
    <xf numFmtId="2" fontId="33" fillId="0" borderId="15" xfId="5" applyNumberFormat="1" applyFont="1" applyFill="1" applyBorder="1" applyAlignment="1" applyProtection="1">
      <alignment vertical="center"/>
    </xf>
    <xf numFmtId="2" fontId="31" fillId="0" borderId="16" xfId="5" applyNumberFormat="1" applyFont="1" applyFill="1" applyBorder="1" applyAlignment="1" applyProtection="1">
      <alignment vertical="center"/>
    </xf>
    <xf numFmtId="40" fontId="31" fillId="0" borderId="0" xfId="5" applyFont="1" applyAlignment="1" applyProtection="1">
      <alignment vertical="center"/>
    </xf>
    <xf numFmtId="172" fontId="31" fillId="0" borderId="0" xfId="5" applyNumberFormat="1" applyFont="1" applyFill="1" applyBorder="1" applyAlignment="1" applyProtection="1">
      <alignment vertical="center"/>
    </xf>
    <xf numFmtId="172" fontId="31" fillId="0" borderId="17" xfId="5" applyNumberFormat="1" applyFont="1" applyFill="1" applyBorder="1" applyAlignment="1" applyProtection="1">
      <alignment horizontal="left" vertical="center" indent="1"/>
    </xf>
    <xf numFmtId="40" fontId="31" fillId="0" borderId="18" xfId="5" applyFont="1" applyBorder="1" applyAlignment="1" applyProtection="1">
      <alignment vertical="center"/>
    </xf>
    <xf numFmtId="173" fontId="31" fillId="0" borderId="18" xfId="5" applyNumberFormat="1" applyFont="1" applyFill="1" applyBorder="1" applyAlignment="1" applyProtection="1">
      <alignment vertical="center"/>
    </xf>
    <xf numFmtId="40" fontId="31" fillId="0" borderId="19" xfId="5" applyFont="1" applyFill="1" applyBorder="1" applyAlignment="1" applyProtection="1">
      <alignment vertical="center"/>
    </xf>
    <xf numFmtId="2" fontId="31" fillId="0" borderId="0" xfId="5" applyNumberFormat="1" applyFont="1" applyFill="1" applyBorder="1" applyAlignment="1" applyProtection="1">
      <alignment vertical="center"/>
    </xf>
    <xf numFmtId="40" fontId="31" fillId="0" borderId="14" xfId="5" applyFont="1" applyBorder="1" applyAlignment="1" applyProtection="1">
      <alignment horizontal="left" vertical="center" indent="1"/>
    </xf>
    <xf numFmtId="40" fontId="31" fillId="0" borderId="0" xfId="5" applyFont="1" applyBorder="1" applyAlignment="1" applyProtection="1">
      <alignment vertical="center"/>
    </xf>
    <xf numFmtId="40" fontId="31" fillId="0" borderId="16" xfId="5" applyFont="1" applyFill="1" applyBorder="1" applyAlignment="1" applyProtection="1">
      <alignment vertical="center"/>
    </xf>
    <xf numFmtId="174" fontId="33" fillId="0" borderId="15" xfId="5" applyNumberFormat="1" applyFont="1" applyBorder="1" applyAlignment="1">
      <alignment horizontal="right" vertical="center"/>
    </xf>
    <xf numFmtId="40" fontId="31" fillId="0" borderId="17" xfId="5" applyFont="1" applyBorder="1" applyAlignment="1" applyProtection="1">
      <alignment horizontal="left" vertical="center" indent="1"/>
    </xf>
    <xf numFmtId="172" fontId="31" fillId="0" borderId="18" xfId="5" applyNumberFormat="1" applyFont="1" applyFill="1" applyBorder="1" applyAlignment="1" applyProtection="1">
      <alignment vertical="center"/>
    </xf>
    <xf numFmtId="2" fontId="31" fillId="0" borderId="16" xfId="5" applyNumberFormat="1" applyFont="1" applyBorder="1" applyAlignment="1" applyProtection="1">
      <alignment vertical="center"/>
    </xf>
    <xf numFmtId="10" fontId="33" fillId="0" borderId="15" xfId="6" applyNumberFormat="1" applyFont="1" applyFill="1" applyBorder="1" applyAlignment="1" applyProtection="1">
      <alignment horizontal="right" vertical="center"/>
    </xf>
    <xf numFmtId="40" fontId="2" fillId="0" borderId="17" xfId="5" applyFont="1" applyBorder="1" applyAlignment="1">
      <alignment horizontal="left" vertical="center" indent="1"/>
    </xf>
    <xf numFmtId="40" fontId="2" fillId="0" borderId="18" xfId="5" applyBorder="1" applyAlignment="1">
      <alignment vertical="center"/>
    </xf>
    <xf numFmtId="164" fontId="31" fillId="0" borderId="18" xfId="5" applyNumberFormat="1" applyFont="1" applyFill="1" applyBorder="1" applyAlignment="1" applyProtection="1">
      <alignment horizontal="right" vertical="center"/>
    </xf>
    <xf numFmtId="40" fontId="2" fillId="0" borderId="14" xfId="5" applyBorder="1" applyAlignment="1">
      <alignment horizontal="left" indent="1"/>
    </xf>
    <xf numFmtId="40" fontId="2" fillId="0" borderId="0" xfId="5" applyBorder="1"/>
    <xf numFmtId="175" fontId="31" fillId="0" borderId="0" xfId="5" applyNumberFormat="1" applyFont="1" applyFill="1" applyBorder="1" applyAlignment="1" applyProtection="1">
      <alignment horizontal="right" vertical="center"/>
    </xf>
    <xf numFmtId="164" fontId="33" fillId="0" borderId="15" xfId="5" applyNumberFormat="1" applyFont="1" applyFill="1" applyBorder="1" applyAlignment="1" applyProtection="1">
      <alignment horizontal="right" vertical="center"/>
    </xf>
    <xf numFmtId="40" fontId="31" fillId="0" borderId="20" xfId="5" applyFont="1" applyBorder="1" applyAlignment="1" applyProtection="1">
      <alignment horizontal="left" vertical="center" indent="1"/>
    </xf>
    <xf numFmtId="40" fontId="31" fillId="0" borderId="21" xfId="5" applyFont="1" applyBorder="1" applyAlignment="1" applyProtection="1">
      <alignment vertical="center"/>
    </xf>
    <xf numFmtId="10" fontId="34" fillId="0" borderId="21" xfId="5" applyNumberFormat="1" applyFont="1" applyBorder="1" applyAlignment="1">
      <alignment horizontal="right" vertical="center"/>
    </xf>
    <xf numFmtId="40" fontId="2" fillId="0" borderId="22" xfId="5" applyBorder="1" applyAlignment="1">
      <alignment vertical="center"/>
    </xf>
    <xf numFmtId="40" fontId="2" fillId="0" borderId="0" xfId="5" applyAlignment="1">
      <alignment vertical="center"/>
    </xf>
    <xf numFmtId="176" fontId="31" fillId="0" borderId="0" xfId="6" applyNumberFormat="1" applyFont="1" applyFill="1" applyBorder="1" applyAlignment="1" applyProtection="1">
      <alignment horizontal="left" vertical="center"/>
    </xf>
    <xf numFmtId="175" fontId="33" fillId="0" borderId="0" xfId="5" applyNumberFormat="1" applyFont="1" applyFill="1" applyBorder="1" applyAlignment="1" applyProtection="1">
      <alignment horizontal="right" vertical="center"/>
    </xf>
    <xf numFmtId="40" fontId="31" fillId="0" borderId="23" xfId="5" applyFont="1" applyBorder="1" applyAlignment="1" applyProtection="1">
      <alignment horizontal="left" vertical="center" indent="1"/>
    </xf>
    <xf numFmtId="40" fontId="31" fillId="0" borderId="24" xfId="5" applyFont="1" applyFill="1" applyBorder="1" applyAlignment="1" applyProtection="1">
      <alignment vertical="center"/>
    </xf>
    <xf numFmtId="10" fontId="31" fillId="0" borderId="24" xfId="5" applyNumberFormat="1" applyFont="1" applyBorder="1" applyAlignment="1" applyProtection="1">
      <alignment vertical="center"/>
    </xf>
    <xf numFmtId="40" fontId="2" fillId="0" borderId="25" xfId="5" applyBorder="1" applyAlignment="1">
      <alignment vertical="center"/>
    </xf>
    <xf numFmtId="172" fontId="31" fillId="0" borderId="0" xfId="5" applyNumberFormat="1" applyFont="1" applyFill="1" applyBorder="1" applyAlignment="1" applyProtection="1">
      <alignment horizontal="left" vertical="center"/>
    </xf>
    <xf numFmtId="40" fontId="31" fillId="0" borderId="26" xfId="5" applyFont="1" applyFill="1" applyBorder="1" applyAlignment="1" applyProtection="1">
      <alignment horizontal="left" vertical="center" indent="1"/>
    </xf>
    <xf numFmtId="40" fontId="31" fillId="0" borderId="2" xfId="5" applyFont="1" applyFill="1" applyBorder="1" applyAlignment="1" applyProtection="1">
      <alignment vertical="center"/>
    </xf>
    <xf numFmtId="2" fontId="31" fillId="0" borderId="2" xfId="5" applyNumberFormat="1" applyFont="1" applyFill="1" applyBorder="1" applyAlignment="1" applyProtection="1">
      <alignment vertical="center"/>
    </xf>
    <xf numFmtId="2" fontId="31" fillId="0" borderId="27" xfId="5" applyNumberFormat="1" applyFont="1" applyFill="1" applyBorder="1" applyAlignment="1" applyProtection="1">
      <alignment vertical="center"/>
    </xf>
    <xf numFmtId="40" fontId="2" fillId="0" borderId="26" xfId="5" applyBorder="1" applyAlignment="1">
      <alignment horizontal="left" indent="1"/>
    </xf>
    <xf numFmtId="40" fontId="2" fillId="0" borderId="2" xfId="5" applyBorder="1"/>
    <xf numFmtId="40" fontId="2" fillId="0" borderId="27" xfId="5" applyBorder="1"/>
    <xf numFmtId="40" fontId="31" fillId="0" borderId="0" xfId="5" applyFont="1" applyFill="1" applyBorder="1"/>
    <xf numFmtId="10" fontId="31" fillId="0" borderId="0" xfId="5" applyNumberFormat="1" applyFont="1" applyFill="1" applyBorder="1" applyProtection="1"/>
    <xf numFmtId="0" fontId="2" fillId="3" borderId="28" xfId="5" applyNumberFormat="1" applyFill="1" applyBorder="1"/>
    <xf numFmtId="40" fontId="2" fillId="3" borderId="1" xfId="5" applyFill="1" applyBorder="1"/>
    <xf numFmtId="40" fontId="2" fillId="5" borderId="29" xfId="5" applyFill="1" applyBorder="1"/>
    <xf numFmtId="40" fontId="35" fillId="0" borderId="0" xfId="5" applyFont="1" applyFill="1" applyBorder="1" applyAlignment="1" applyProtection="1">
      <alignment vertical="center"/>
    </xf>
    <xf numFmtId="40" fontId="35" fillId="0" borderId="0" xfId="5" applyFont="1" applyAlignment="1" applyProtection="1">
      <alignment vertical="center"/>
    </xf>
    <xf numFmtId="40" fontId="36" fillId="0" borderId="28" xfId="5" applyFont="1" applyFill="1" applyBorder="1" applyAlignment="1" applyProtection="1">
      <alignment horizontal="center" vertical="center"/>
    </xf>
    <xf numFmtId="40" fontId="36" fillId="0" borderId="1" xfId="5" applyFont="1" applyFill="1" applyBorder="1" applyAlignment="1" applyProtection="1">
      <alignment horizontal="left" vertical="center"/>
    </xf>
    <xf numFmtId="40" fontId="36" fillId="0" borderId="1" xfId="5" applyFont="1" applyFill="1" applyBorder="1" applyAlignment="1" applyProtection="1">
      <alignment horizontal="right" vertical="center"/>
    </xf>
    <xf numFmtId="40" fontId="36" fillId="0" borderId="29" xfId="5" applyFont="1" applyFill="1" applyBorder="1" applyAlignment="1" applyProtection="1">
      <alignment horizontal="center" vertical="center"/>
    </xf>
    <xf numFmtId="40" fontId="35" fillId="0" borderId="0" xfId="5" applyFont="1" applyProtection="1"/>
    <xf numFmtId="40" fontId="37" fillId="0" borderId="0" xfId="5" applyFont="1" applyFill="1" applyBorder="1" applyAlignment="1" applyProtection="1">
      <alignment horizontal="center"/>
    </xf>
    <xf numFmtId="40" fontId="35" fillId="0" borderId="0" xfId="5" applyFont="1" applyFill="1" applyBorder="1" applyProtection="1"/>
    <xf numFmtId="40" fontId="35" fillId="0" borderId="0" xfId="5" applyFont="1" applyBorder="1" applyProtection="1"/>
    <xf numFmtId="40" fontId="35" fillId="0" borderId="0" xfId="5" applyFont="1" applyFill="1" applyBorder="1" applyAlignment="1" applyProtection="1">
      <alignment horizontal="right"/>
    </xf>
    <xf numFmtId="40" fontId="38" fillId="0" borderId="0" xfId="5" applyFont="1" applyProtection="1"/>
    <xf numFmtId="1" fontId="39" fillId="0" borderId="0" xfId="5" applyNumberFormat="1" applyFont="1" applyAlignment="1">
      <alignment horizontal="center"/>
    </xf>
    <xf numFmtId="175" fontId="38" fillId="0" borderId="0" xfId="5" applyNumberFormat="1" applyFont="1" applyAlignment="1">
      <alignment horizontal="left"/>
    </xf>
    <xf numFmtId="40" fontId="38" fillId="0" borderId="0" xfId="5" applyNumberFormat="1" applyFont="1" applyBorder="1" applyProtection="1"/>
    <xf numFmtId="40" fontId="38" fillId="0" borderId="0" xfId="5" applyFont="1" applyBorder="1" applyProtection="1">
      <protection locked="0"/>
    </xf>
    <xf numFmtId="2" fontId="38" fillId="0" borderId="0" xfId="5" applyNumberFormat="1" applyFont="1" applyBorder="1" applyProtection="1">
      <protection locked="0"/>
    </xf>
    <xf numFmtId="40" fontId="38" fillId="0" borderId="0" xfId="5" applyFont="1" applyBorder="1" applyProtection="1"/>
    <xf numFmtId="40" fontId="38" fillId="0" borderId="0" xfId="5" applyNumberFormat="1" applyFont="1" applyBorder="1" applyProtection="1">
      <protection locked="0"/>
    </xf>
    <xf numFmtId="40" fontId="40" fillId="0" borderId="0" xfId="5" applyNumberFormat="1" applyFont="1" applyBorder="1" applyAlignment="1" applyProtection="1">
      <alignment horizontal="center"/>
    </xf>
    <xf numFmtId="40" fontId="41" fillId="0" borderId="0" xfId="5" applyFont="1" applyFill="1" applyBorder="1" applyAlignment="1" applyProtection="1">
      <alignment horizontal="center"/>
    </xf>
    <xf numFmtId="40" fontId="38" fillId="0" borderId="0" xfId="5" applyNumberFormat="1" applyFont="1" applyFill="1" applyBorder="1" applyProtection="1"/>
    <xf numFmtId="40" fontId="36" fillId="0" borderId="28" xfId="5" applyFont="1" applyFill="1" applyBorder="1" applyAlignment="1" applyProtection="1">
      <alignment horizontal="center"/>
    </xf>
    <xf numFmtId="40" fontId="36" fillId="0" borderId="1" xfId="5" applyFont="1" applyFill="1" applyBorder="1" applyAlignment="1" applyProtection="1">
      <alignment horizontal="center"/>
    </xf>
    <xf numFmtId="40" fontId="42" fillId="0" borderId="1" xfId="5" applyNumberFormat="1" applyFont="1" applyFill="1" applyBorder="1" applyProtection="1"/>
    <xf numFmtId="40" fontId="36" fillId="0" borderId="1" xfId="5" applyNumberFormat="1" applyFont="1" applyFill="1" applyBorder="1" applyAlignment="1" applyProtection="1">
      <alignment vertical="center"/>
    </xf>
    <xf numFmtId="40" fontId="36" fillId="0" borderId="29" xfId="5" applyFont="1" applyFill="1" applyBorder="1" applyAlignment="1" applyProtection="1">
      <alignment horizontal="center"/>
    </xf>
    <xf numFmtId="40" fontId="35" fillId="0" borderId="0" xfId="5" applyNumberFormat="1" applyFont="1" applyFill="1" applyBorder="1" applyProtection="1"/>
    <xf numFmtId="40" fontId="43" fillId="0" borderId="0" xfId="5" applyFont="1" applyProtection="1"/>
    <xf numFmtId="40" fontId="35" fillId="0" borderId="0" xfId="5" applyFont="1" applyFill="1" applyBorder="1" applyAlignment="1" applyProtection="1">
      <alignment horizontal="center"/>
    </xf>
    <xf numFmtId="40" fontId="44" fillId="0" borderId="0" xfId="5" applyNumberFormat="1" applyFont="1" applyFill="1" applyBorder="1" applyProtection="1"/>
    <xf numFmtId="40" fontId="43" fillId="0" borderId="0" xfId="5" applyNumberFormat="1" applyFont="1" applyFill="1" applyBorder="1" applyAlignment="1" applyProtection="1">
      <alignment vertical="center"/>
    </xf>
    <xf numFmtId="40" fontId="43" fillId="0" borderId="0" xfId="5" applyNumberFormat="1" applyFont="1" applyFill="1" applyBorder="1" applyProtection="1"/>
    <xf numFmtId="40" fontId="2" fillId="0" borderId="0" xfId="5" applyProtection="1"/>
    <xf numFmtId="40" fontId="3" fillId="0" borderId="0" xfId="5" applyFont="1" applyBorder="1" applyAlignment="1" applyProtection="1">
      <alignment horizontal="center"/>
    </xf>
    <xf numFmtId="40" fontId="45" fillId="0" borderId="0" xfId="5" applyNumberFormat="1" applyFont="1" applyBorder="1" applyProtection="1"/>
    <xf numFmtId="40" fontId="2" fillId="0" borderId="0" xfId="5" applyNumberFormat="1" applyBorder="1" applyProtection="1"/>
    <xf numFmtId="0" fontId="4" fillId="0" borderId="0" xfId="0" quotePrefix="1" applyFont="1"/>
    <xf numFmtId="0" fontId="47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12" fillId="0" borderId="0" xfId="0" applyFont="1"/>
    <xf numFmtId="0" fontId="50" fillId="6" borderId="0" xfId="0" applyFont="1" applyFill="1"/>
    <xf numFmtId="0" fontId="51" fillId="6" borderId="0" xfId="0" applyFont="1" applyFill="1"/>
    <xf numFmtId="0" fontId="23" fillId="0" borderId="0" xfId="0" applyFont="1"/>
    <xf numFmtId="0" fontId="36" fillId="3" borderId="30" xfId="5" applyNumberFormat="1" applyFont="1" applyFill="1" applyBorder="1" applyAlignment="1" applyProtection="1">
      <alignment horizontal="left" indent="1"/>
    </xf>
  </cellXfs>
  <cellStyles count="8">
    <cellStyle name="1AnalTitle" xfId="1"/>
    <cellStyle name="Date - dd/mm/yy" xfId="2"/>
    <cellStyle name="Date - mmm yy" xfId="3"/>
    <cellStyle name="Euro" xfId="4"/>
    <cellStyle name="Normal" xfId="0" builtinId="0"/>
    <cellStyle name="Normal_7Loan1" xfId="5"/>
    <cellStyle name="Procent" xfId="6" builtinId="5"/>
    <cellStyle name="Tusental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88900</xdr:rowOff>
    </xdr:from>
    <xdr:to>
      <xdr:col>6</xdr:col>
      <xdr:colOff>584200</xdr:colOff>
      <xdr:row>14</xdr:row>
      <xdr:rowOff>69850</xdr:rowOff>
    </xdr:to>
    <xdr:pic>
      <xdr:nvPicPr>
        <xdr:cNvPr id="26635" name="Bildobjekt 2">
          <a:extLst>
            <a:ext uri="{FF2B5EF4-FFF2-40B4-BE49-F238E27FC236}">
              <a16:creationId xmlns:a16="http://schemas.microsoft.com/office/drawing/2014/main" id="{32FF0CF7-D0C1-41A3-8C62-2BC09DCE6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55750"/>
          <a:ext cx="3632200" cy="109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9</xdr:row>
      <xdr:rowOff>107950</xdr:rowOff>
    </xdr:from>
    <xdr:to>
      <xdr:col>3</xdr:col>
      <xdr:colOff>615950</xdr:colOff>
      <xdr:row>9</xdr:row>
      <xdr:rowOff>107950</xdr:rowOff>
    </xdr:to>
    <xdr:sp macro="" textlink="">
      <xdr:nvSpPr>
        <xdr:cNvPr id="24630" name="Line 2">
          <a:extLst>
            <a:ext uri="{FF2B5EF4-FFF2-40B4-BE49-F238E27FC236}">
              <a16:creationId xmlns:a16="http://schemas.microsoft.com/office/drawing/2014/main" id="{454AC2EC-59A0-4A14-9B07-2E84B7CD0FCD}"/>
            </a:ext>
          </a:extLst>
        </xdr:cNvPr>
        <xdr:cNvSpPr>
          <a:spLocks noChangeShapeType="1"/>
        </xdr:cNvSpPr>
      </xdr:nvSpPr>
      <xdr:spPr bwMode="auto">
        <a:xfrm>
          <a:off x="1485900" y="1549400"/>
          <a:ext cx="577850" cy="0"/>
        </a:xfrm>
        <a:prstGeom prst="line">
          <a:avLst/>
        </a:prstGeom>
        <a:noFill/>
        <a:ln w="9360">
          <a:solidFill>
            <a:srgbClr val="00008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38100</xdr:colOff>
      <xdr:row>11</xdr:row>
      <xdr:rowOff>107950</xdr:rowOff>
    </xdr:from>
    <xdr:to>
      <xdr:col>3</xdr:col>
      <xdr:colOff>615950</xdr:colOff>
      <xdr:row>11</xdr:row>
      <xdr:rowOff>107950</xdr:rowOff>
    </xdr:to>
    <xdr:sp macro="" textlink="">
      <xdr:nvSpPr>
        <xdr:cNvPr id="24631" name="Line 3">
          <a:extLst>
            <a:ext uri="{FF2B5EF4-FFF2-40B4-BE49-F238E27FC236}">
              <a16:creationId xmlns:a16="http://schemas.microsoft.com/office/drawing/2014/main" id="{E0EC0AD5-6761-4BBB-8B75-1095083C0F61}"/>
            </a:ext>
          </a:extLst>
        </xdr:cNvPr>
        <xdr:cNvSpPr>
          <a:spLocks noChangeShapeType="1"/>
        </xdr:cNvSpPr>
      </xdr:nvSpPr>
      <xdr:spPr bwMode="auto">
        <a:xfrm>
          <a:off x="1485900" y="1885950"/>
          <a:ext cx="577850" cy="0"/>
        </a:xfrm>
        <a:prstGeom prst="line">
          <a:avLst/>
        </a:prstGeom>
        <a:noFill/>
        <a:ln w="9360">
          <a:solidFill>
            <a:srgbClr val="00008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38100</xdr:colOff>
      <xdr:row>13</xdr:row>
      <xdr:rowOff>107950</xdr:rowOff>
    </xdr:from>
    <xdr:to>
      <xdr:col>3</xdr:col>
      <xdr:colOff>615950</xdr:colOff>
      <xdr:row>13</xdr:row>
      <xdr:rowOff>107950</xdr:rowOff>
    </xdr:to>
    <xdr:sp macro="" textlink="">
      <xdr:nvSpPr>
        <xdr:cNvPr id="24632" name="Line 4">
          <a:extLst>
            <a:ext uri="{FF2B5EF4-FFF2-40B4-BE49-F238E27FC236}">
              <a16:creationId xmlns:a16="http://schemas.microsoft.com/office/drawing/2014/main" id="{0823FE0B-164D-4010-9E81-78C7150B1296}"/>
            </a:ext>
          </a:extLst>
        </xdr:cNvPr>
        <xdr:cNvSpPr>
          <a:spLocks noChangeShapeType="1"/>
        </xdr:cNvSpPr>
      </xdr:nvSpPr>
      <xdr:spPr bwMode="auto">
        <a:xfrm>
          <a:off x="1485900" y="2222500"/>
          <a:ext cx="577850" cy="0"/>
        </a:xfrm>
        <a:prstGeom prst="line">
          <a:avLst/>
        </a:prstGeom>
        <a:noFill/>
        <a:ln w="9360">
          <a:solidFill>
            <a:srgbClr val="00008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38100</xdr:colOff>
      <xdr:row>15</xdr:row>
      <xdr:rowOff>107950</xdr:rowOff>
    </xdr:from>
    <xdr:to>
      <xdr:col>3</xdr:col>
      <xdr:colOff>615950</xdr:colOff>
      <xdr:row>15</xdr:row>
      <xdr:rowOff>107950</xdr:rowOff>
    </xdr:to>
    <xdr:sp macro="" textlink="">
      <xdr:nvSpPr>
        <xdr:cNvPr id="24633" name="Line 5">
          <a:extLst>
            <a:ext uri="{FF2B5EF4-FFF2-40B4-BE49-F238E27FC236}">
              <a16:creationId xmlns:a16="http://schemas.microsoft.com/office/drawing/2014/main" id="{B40C090D-3696-466E-B5D2-60E3D508174C}"/>
            </a:ext>
          </a:extLst>
        </xdr:cNvPr>
        <xdr:cNvSpPr>
          <a:spLocks noChangeShapeType="1"/>
        </xdr:cNvSpPr>
      </xdr:nvSpPr>
      <xdr:spPr bwMode="auto">
        <a:xfrm>
          <a:off x="1485900" y="2559050"/>
          <a:ext cx="577850" cy="0"/>
        </a:xfrm>
        <a:prstGeom prst="line">
          <a:avLst/>
        </a:prstGeom>
        <a:noFill/>
        <a:ln w="9360">
          <a:solidFill>
            <a:srgbClr val="00008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9</xdr:row>
      <xdr:rowOff>107950</xdr:rowOff>
    </xdr:from>
    <xdr:to>
      <xdr:col>3</xdr:col>
      <xdr:colOff>615950</xdr:colOff>
      <xdr:row>9</xdr:row>
      <xdr:rowOff>107950</xdr:rowOff>
    </xdr:to>
    <xdr:sp macro="" textlink="">
      <xdr:nvSpPr>
        <xdr:cNvPr id="25654" name="Line 2">
          <a:extLst>
            <a:ext uri="{FF2B5EF4-FFF2-40B4-BE49-F238E27FC236}">
              <a16:creationId xmlns:a16="http://schemas.microsoft.com/office/drawing/2014/main" id="{EAC24C21-DD63-45F6-8B91-0C912AE4EDFC}"/>
            </a:ext>
          </a:extLst>
        </xdr:cNvPr>
        <xdr:cNvSpPr>
          <a:spLocks noChangeShapeType="1"/>
        </xdr:cNvSpPr>
      </xdr:nvSpPr>
      <xdr:spPr bwMode="auto">
        <a:xfrm>
          <a:off x="1485900" y="1549400"/>
          <a:ext cx="577850" cy="0"/>
        </a:xfrm>
        <a:prstGeom prst="line">
          <a:avLst/>
        </a:prstGeom>
        <a:noFill/>
        <a:ln w="9360">
          <a:solidFill>
            <a:srgbClr val="00008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38100</xdr:colOff>
      <xdr:row>11</xdr:row>
      <xdr:rowOff>107950</xdr:rowOff>
    </xdr:from>
    <xdr:to>
      <xdr:col>3</xdr:col>
      <xdr:colOff>615950</xdr:colOff>
      <xdr:row>11</xdr:row>
      <xdr:rowOff>107950</xdr:rowOff>
    </xdr:to>
    <xdr:sp macro="" textlink="">
      <xdr:nvSpPr>
        <xdr:cNvPr id="25655" name="Line 3">
          <a:extLst>
            <a:ext uri="{FF2B5EF4-FFF2-40B4-BE49-F238E27FC236}">
              <a16:creationId xmlns:a16="http://schemas.microsoft.com/office/drawing/2014/main" id="{1E317C43-1F67-435C-9703-AC357B7737BB}"/>
            </a:ext>
          </a:extLst>
        </xdr:cNvPr>
        <xdr:cNvSpPr>
          <a:spLocks noChangeShapeType="1"/>
        </xdr:cNvSpPr>
      </xdr:nvSpPr>
      <xdr:spPr bwMode="auto">
        <a:xfrm>
          <a:off x="1485900" y="1885950"/>
          <a:ext cx="577850" cy="0"/>
        </a:xfrm>
        <a:prstGeom prst="line">
          <a:avLst/>
        </a:prstGeom>
        <a:noFill/>
        <a:ln w="9360">
          <a:solidFill>
            <a:srgbClr val="00008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38100</xdr:colOff>
      <xdr:row>13</xdr:row>
      <xdr:rowOff>107950</xdr:rowOff>
    </xdr:from>
    <xdr:to>
      <xdr:col>3</xdr:col>
      <xdr:colOff>615950</xdr:colOff>
      <xdr:row>13</xdr:row>
      <xdr:rowOff>107950</xdr:rowOff>
    </xdr:to>
    <xdr:sp macro="" textlink="">
      <xdr:nvSpPr>
        <xdr:cNvPr id="25656" name="Line 4">
          <a:extLst>
            <a:ext uri="{FF2B5EF4-FFF2-40B4-BE49-F238E27FC236}">
              <a16:creationId xmlns:a16="http://schemas.microsoft.com/office/drawing/2014/main" id="{18C75305-F871-4C0F-A74D-B8099ECD736E}"/>
            </a:ext>
          </a:extLst>
        </xdr:cNvPr>
        <xdr:cNvSpPr>
          <a:spLocks noChangeShapeType="1"/>
        </xdr:cNvSpPr>
      </xdr:nvSpPr>
      <xdr:spPr bwMode="auto">
        <a:xfrm>
          <a:off x="1485900" y="2222500"/>
          <a:ext cx="577850" cy="0"/>
        </a:xfrm>
        <a:prstGeom prst="line">
          <a:avLst/>
        </a:prstGeom>
        <a:noFill/>
        <a:ln w="9360">
          <a:solidFill>
            <a:srgbClr val="00008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38100</xdr:colOff>
      <xdr:row>15</xdr:row>
      <xdr:rowOff>107950</xdr:rowOff>
    </xdr:from>
    <xdr:to>
      <xdr:col>3</xdr:col>
      <xdr:colOff>615950</xdr:colOff>
      <xdr:row>15</xdr:row>
      <xdr:rowOff>107950</xdr:rowOff>
    </xdr:to>
    <xdr:sp macro="" textlink="">
      <xdr:nvSpPr>
        <xdr:cNvPr id="25657" name="Line 5">
          <a:extLst>
            <a:ext uri="{FF2B5EF4-FFF2-40B4-BE49-F238E27FC236}">
              <a16:creationId xmlns:a16="http://schemas.microsoft.com/office/drawing/2014/main" id="{A98AD60F-309B-4397-A8D4-196C4D9F065E}"/>
            </a:ext>
          </a:extLst>
        </xdr:cNvPr>
        <xdr:cNvSpPr>
          <a:spLocks noChangeShapeType="1"/>
        </xdr:cNvSpPr>
      </xdr:nvSpPr>
      <xdr:spPr bwMode="auto">
        <a:xfrm>
          <a:off x="1485900" y="2559050"/>
          <a:ext cx="577850" cy="0"/>
        </a:xfrm>
        <a:prstGeom prst="line">
          <a:avLst/>
        </a:prstGeom>
        <a:noFill/>
        <a:ln w="9360">
          <a:solidFill>
            <a:srgbClr val="00008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/>
  </sheetViews>
  <sheetFormatPr defaultRowHeight="12.5" x14ac:dyDescent="0.25"/>
  <sheetData>
    <row r="1" spans="1:4" ht="32.5" x14ac:dyDescent="0.65">
      <c r="A1" s="3" t="s">
        <v>240</v>
      </c>
      <c r="C1" s="205" t="s">
        <v>250</v>
      </c>
      <c r="D1" s="206"/>
    </row>
    <row r="3" spans="1:4" ht="14.5" x14ac:dyDescent="0.25">
      <c r="A3" s="203" t="s">
        <v>243</v>
      </c>
    </row>
    <row r="4" spans="1:4" ht="14.5" x14ac:dyDescent="0.25">
      <c r="A4" s="202" t="s">
        <v>244</v>
      </c>
    </row>
    <row r="5" spans="1:4" ht="14.5" x14ac:dyDescent="0.25">
      <c r="A5" s="202" t="s">
        <v>245</v>
      </c>
    </row>
    <row r="7" spans="1:4" ht="14.5" x14ac:dyDescent="0.25">
      <c r="A7" s="203" t="s">
        <v>246</v>
      </c>
    </row>
    <row r="8" spans="1:4" x14ac:dyDescent="0.25">
      <c r="A8" s="204" t="s">
        <v>247</v>
      </c>
    </row>
    <row r="16" spans="1:4" x14ac:dyDescent="0.25">
      <c r="A16" s="204" t="s">
        <v>248</v>
      </c>
    </row>
    <row r="17" spans="1:7" ht="14.5" x14ac:dyDescent="0.25">
      <c r="A17" s="202" t="s">
        <v>249</v>
      </c>
    </row>
    <row r="19" spans="1:7" ht="14.5" x14ac:dyDescent="0.25">
      <c r="A19" s="202" t="s">
        <v>251</v>
      </c>
    </row>
    <row r="21" spans="1:7" ht="14.5" x14ac:dyDescent="0.25">
      <c r="A21" s="202" t="s">
        <v>253</v>
      </c>
    </row>
    <row r="22" spans="1:7" ht="14.5" x14ac:dyDescent="0.3">
      <c r="A22" s="202" t="s">
        <v>252</v>
      </c>
      <c r="G22" s="207" t="s">
        <v>254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zoomScaleSheetLayoutView="75" workbookViewId="0">
      <selection activeCell="A2" sqref="A2"/>
    </sheetView>
  </sheetViews>
  <sheetFormatPr defaultRowHeight="13" x14ac:dyDescent="0.3"/>
  <cols>
    <col min="1" max="1" width="2.453125" customWidth="1"/>
    <col min="2" max="2" width="28.81640625" customWidth="1"/>
    <col min="3" max="3" width="16.453125" style="1" customWidth="1"/>
    <col min="4" max="4" width="12.7265625" style="1" customWidth="1"/>
    <col min="5" max="5" width="15.54296875" style="2" customWidth="1"/>
  </cols>
  <sheetData>
    <row r="1" spans="1:5" ht="15.5" x14ac:dyDescent="0.35">
      <c r="A1" s="4" t="s">
        <v>240</v>
      </c>
      <c r="B1" s="5"/>
    </row>
    <row r="2" spans="1:5" ht="15.5" x14ac:dyDescent="0.35">
      <c r="A2" s="4" t="s">
        <v>80</v>
      </c>
      <c r="B2" s="5"/>
    </row>
    <row r="3" spans="1:5" ht="15.5" x14ac:dyDescent="0.35">
      <c r="A3" s="4" t="s">
        <v>81</v>
      </c>
      <c r="B3" s="5"/>
    </row>
    <row r="5" spans="1:5" x14ac:dyDescent="0.3">
      <c r="C5" s="48" t="s">
        <v>117</v>
      </c>
      <c r="D5" s="48" t="s">
        <v>118</v>
      </c>
      <c r="E5" s="48" t="s">
        <v>3</v>
      </c>
    </row>
    <row r="6" spans="1:5" x14ac:dyDescent="0.3">
      <c r="C6" s="48"/>
      <c r="D6" s="48"/>
      <c r="E6" s="48"/>
    </row>
    <row r="7" spans="1:5" ht="15.5" x14ac:dyDescent="0.35">
      <c r="A7" s="4" t="s">
        <v>7</v>
      </c>
    </row>
    <row r="8" spans="1:5" x14ac:dyDescent="0.3">
      <c r="B8" t="s">
        <v>8</v>
      </c>
      <c r="C8" s="1">
        <v>0</v>
      </c>
      <c r="D8" s="1">
        <v>0</v>
      </c>
      <c r="E8" s="2">
        <f t="shared" ref="E8:E17" si="0">SUM(C8:D8)</f>
        <v>0</v>
      </c>
    </row>
    <row r="9" spans="1:5" x14ac:dyDescent="0.3">
      <c r="B9" t="s">
        <v>119</v>
      </c>
      <c r="C9" s="1">
        <v>0</v>
      </c>
      <c r="D9" s="1">
        <v>0</v>
      </c>
      <c r="E9" s="2">
        <f t="shared" si="0"/>
        <v>0</v>
      </c>
    </row>
    <row r="10" spans="1:5" hidden="1" x14ac:dyDescent="0.3">
      <c r="B10" t="s">
        <v>10</v>
      </c>
      <c r="E10" s="2">
        <f t="shared" si="0"/>
        <v>0</v>
      </c>
    </row>
    <row r="11" spans="1:5" hidden="1" x14ac:dyDescent="0.3">
      <c r="B11" t="s">
        <v>11</v>
      </c>
      <c r="E11" s="2">
        <f t="shared" si="0"/>
        <v>0</v>
      </c>
    </row>
    <row r="12" spans="1:5" hidden="1" x14ac:dyDescent="0.3">
      <c r="B12" t="s">
        <v>12</v>
      </c>
      <c r="E12" s="2">
        <f t="shared" si="0"/>
        <v>0</v>
      </c>
    </row>
    <row r="13" spans="1:5" hidden="1" x14ac:dyDescent="0.3">
      <c r="B13" t="s">
        <v>13</v>
      </c>
      <c r="E13" s="2">
        <f t="shared" si="0"/>
        <v>0</v>
      </c>
    </row>
    <row r="14" spans="1:5" hidden="1" x14ac:dyDescent="0.3">
      <c r="B14" t="s">
        <v>14</v>
      </c>
      <c r="E14" s="2">
        <f t="shared" si="0"/>
        <v>0</v>
      </c>
    </row>
    <row r="15" spans="1:5" hidden="1" x14ac:dyDescent="0.3">
      <c r="B15" t="s">
        <v>15</v>
      </c>
      <c r="E15" s="2">
        <f t="shared" si="0"/>
        <v>0</v>
      </c>
    </row>
    <row r="16" spans="1:5" hidden="1" x14ac:dyDescent="0.3">
      <c r="B16" t="s">
        <v>16</v>
      </c>
      <c r="E16" s="2">
        <f t="shared" si="0"/>
        <v>0</v>
      </c>
    </row>
    <row r="17" spans="1:5" x14ac:dyDescent="0.3">
      <c r="B17" t="s">
        <v>17</v>
      </c>
      <c r="C17" s="1">
        <v>0</v>
      </c>
      <c r="D17" s="1">
        <v>0</v>
      </c>
      <c r="E17" s="2">
        <f t="shared" si="0"/>
        <v>0</v>
      </c>
    </row>
    <row r="18" spans="1:5" ht="14" x14ac:dyDescent="0.3">
      <c r="A18" s="14" t="s">
        <v>18</v>
      </c>
      <c r="C18" s="15">
        <f>SUM(C8:C17)</f>
        <v>0</v>
      </c>
      <c r="D18" s="15">
        <f>SUM(D8:D17)</f>
        <v>0</v>
      </c>
      <c r="E18" s="15">
        <f>SUM(E8:E17)</f>
        <v>0</v>
      </c>
    </row>
    <row r="20" spans="1:5" ht="15.5" x14ac:dyDescent="0.35">
      <c r="A20" s="4" t="s">
        <v>19</v>
      </c>
    </row>
    <row r="21" spans="1:5" ht="6" customHeight="1" x14ac:dyDescent="0.35">
      <c r="A21" s="4"/>
    </row>
    <row r="22" spans="1:5" ht="15.5" x14ac:dyDescent="0.35">
      <c r="A22" s="17" t="s">
        <v>20</v>
      </c>
    </row>
    <row r="23" spans="1:5" x14ac:dyDescent="0.3">
      <c r="B23" t="s">
        <v>21</v>
      </c>
      <c r="D23" s="1">
        <v>0</v>
      </c>
      <c r="E23" s="2">
        <v>0</v>
      </c>
    </row>
    <row r="24" spans="1:5" hidden="1" x14ac:dyDescent="0.3">
      <c r="B24" t="s">
        <v>16</v>
      </c>
    </row>
    <row r="25" spans="1:5" hidden="1" x14ac:dyDescent="0.3">
      <c r="B25" t="s">
        <v>22</v>
      </c>
    </row>
    <row r="26" spans="1:5" ht="14" x14ac:dyDescent="0.3">
      <c r="B26" s="19" t="s">
        <v>3</v>
      </c>
      <c r="C26" s="15">
        <f>SUM(C23:C25)</f>
        <v>0</v>
      </c>
      <c r="D26" s="15">
        <f>SUM(D23:D25)</f>
        <v>0</v>
      </c>
      <c r="E26" s="15">
        <f>SUM(E23:E25)</f>
        <v>0</v>
      </c>
    </row>
    <row r="27" spans="1:5" ht="6" customHeight="1" x14ac:dyDescent="0.3"/>
    <row r="28" spans="1:5" ht="15.5" x14ac:dyDescent="0.35">
      <c r="A28" s="17" t="s">
        <v>23</v>
      </c>
    </row>
    <row r="29" spans="1:5" x14ac:dyDescent="0.3">
      <c r="B29" t="s">
        <v>107</v>
      </c>
      <c r="C29" s="1">
        <v>250000</v>
      </c>
      <c r="D29" s="1">
        <v>0</v>
      </c>
      <c r="E29" s="2">
        <f>SUM(C29:D29)</f>
        <v>250000</v>
      </c>
    </row>
    <row r="30" spans="1:5" ht="14" x14ac:dyDescent="0.3">
      <c r="B30" s="19" t="s">
        <v>3</v>
      </c>
      <c r="C30" s="15">
        <f>SUM(C29)</f>
        <v>250000</v>
      </c>
      <c r="D30" s="15">
        <v>0</v>
      </c>
      <c r="E30" s="15">
        <f>SUM(E29)</f>
        <v>250000</v>
      </c>
    </row>
    <row r="31" spans="1:5" ht="6" customHeight="1" x14ac:dyDescent="0.3"/>
    <row r="32" spans="1:5" ht="15.5" x14ac:dyDescent="0.35">
      <c r="A32" s="17" t="s">
        <v>24</v>
      </c>
    </row>
    <row r="33" spans="1:5" x14ac:dyDescent="0.3">
      <c r="B33" t="s">
        <v>25</v>
      </c>
      <c r="C33" s="1">
        <v>5735714</v>
      </c>
      <c r="E33" s="49">
        <v>5735714</v>
      </c>
    </row>
    <row r="34" spans="1:5" x14ac:dyDescent="0.3">
      <c r="B34" t="s">
        <v>26</v>
      </c>
      <c r="C34" s="1">
        <v>250000</v>
      </c>
      <c r="E34" s="2">
        <f>SUM(C34:D34)</f>
        <v>250000</v>
      </c>
    </row>
    <row r="35" spans="1:5" x14ac:dyDescent="0.3">
      <c r="B35" t="s">
        <v>27</v>
      </c>
      <c r="C35" s="1">
        <v>3081169</v>
      </c>
      <c r="D35" s="1">
        <v>0</v>
      </c>
      <c r="E35" s="2">
        <f>SUM(C35:D35)</f>
        <v>3081169</v>
      </c>
    </row>
    <row r="36" spans="1:5" x14ac:dyDescent="0.3">
      <c r="B36" t="s">
        <v>28</v>
      </c>
      <c r="C36" s="1">
        <v>175000</v>
      </c>
      <c r="E36" s="2">
        <f>SUM(C36:D36)</f>
        <v>175000</v>
      </c>
    </row>
    <row r="37" spans="1:5" x14ac:dyDescent="0.3">
      <c r="B37" t="s">
        <v>29</v>
      </c>
      <c r="C37" s="1">
        <v>45000</v>
      </c>
      <c r="D37" s="1">
        <v>0</v>
      </c>
      <c r="E37" s="2">
        <f>SUM(C37:D37)</f>
        <v>45000</v>
      </c>
    </row>
    <row r="38" spans="1:5" x14ac:dyDescent="0.3">
      <c r="B38" t="s">
        <v>30</v>
      </c>
      <c r="C38" s="1">
        <v>360000</v>
      </c>
      <c r="D38" s="1">
        <v>0</v>
      </c>
      <c r="E38" s="2">
        <v>360000</v>
      </c>
    </row>
    <row r="39" spans="1:5" x14ac:dyDescent="0.3">
      <c r="B39" t="s">
        <v>31</v>
      </c>
      <c r="C39" s="1">
        <v>1350000</v>
      </c>
      <c r="D39" s="1">
        <v>0</v>
      </c>
      <c r="E39" s="2">
        <f>SUM(C39:D39)</f>
        <v>1350000</v>
      </c>
    </row>
    <row r="40" spans="1:5" x14ac:dyDescent="0.3">
      <c r="B40" t="s">
        <v>32</v>
      </c>
      <c r="C40" s="1">
        <v>60000</v>
      </c>
      <c r="E40" s="2">
        <f>SUM(C40:D40)</f>
        <v>60000</v>
      </c>
    </row>
    <row r="41" spans="1:5" x14ac:dyDescent="0.3">
      <c r="B41" t="s">
        <v>33</v>
      </c>
      <c r="C41" s="1">
        <v>96000</v>
      </c>
      <c r="E41" s="2">
        <f>SUM(C41:D41)</f>
        <v>96000</v>
      </c>
    </row>
    <row r="42" spans="1:5" x14ac:dyDescent="0.3">
      <c r="B42" t="s">
        <v>120</v>
      </c>
      <c r="C42" s="1">
        <v>650000</v>
      </c>
      <c r="D42" s="1">
        <v>0</v>
      </c>
      <c r="E42" s="2">
        <f>SUM(C42:D42)</f>
        <v>650000</v>
      </c>
    </row>
    <row r="43" spans="1:5" x14ac:dyDescent="0.3">
      <c r="B43" t="s">
        <v>35</v>
      </c>
      <c r="C43" s="1">
        <v>2400000</v>
      </c>
      <c r="D43" s="1">
        <v>0</v>
      </c>
      <c r="E43" s="2">
        <v>2400000</v>
      </c>
    </row>
    <row r="44" spans="1:5" x14ac:dyDescent="0.3">
      <c r="B44" t="s">
        <v>36</v>
      </c>
      <c r="C44" s="1">
        <v>390000</v>
      </c>
      <c r="D44" s="1">
        <v>0</v>
      </c>
      <c r="E44" s="2">
        <f>SUM(C44:D44)</f>
        <v>390000</v>
      </c>
    </row>
    <row r="45" spans="1:5" x14ac:dyDescent="0.3">
      <c r="B45" t="s">
        <v>37</v>
      </c>
      <c r="C45" s="1">
        <v>300000</v>
      </c>
      <c r="D45" s="1">
        <v>0</v>
      </c>
      <c r="E45" s="2">
        <f>SUM(C45:D45)</f>
        <v>300000</v>
      </c>
    </row>
    <row r="46" spans="1:5" ht="14" x14ac:dyDescent="0.3">
      <c r="B46" s="19" t="s">
        <v>3</v>
      </c>
      <c r="C46" s="15">
        <f>SUM(C33:C45)</f>
        <v>14892883</v>
      </c>
      <c r="D46" s="15">
        <f>SUM(D33:D45)</f>
        <v>0</v>
      </c>
      <c r="E46" s="15">
        <f>SUM(E33:E45)</f>
        <v>14892883</v>
      </c>
    </row>
    <row r="47" spans="1:5" ht="6" customHeight="1" x14ac:dyDescent="0.3"/>
    <row r="48" spans="1:5" ht="15.5" x14ac:dyDescent="0.35">
      <c r="A48" s="17" t="s">
        <v>38</v>
      </c>
    </row>
    <row r="49" spans="1:5" x14ac:dyDescent="0.3">
      <c r="B49" t="s">
        <v>39</v>
      </c>
      <c r="C49" s="1">
        <v>120000</v>
      </c>
      <c r="D49" s="1">
        <v>0</v>
      </c>
      <c r="E49" s="2">
        <f>SUM(C49:D49)</f>
        <v>120000</v>
      </c>
    </row>
    <row r="50" spans="1:5" x14ac:dyDescent="0.3">
      <c r="B50" t="s">
        <v>40</v>
      </c>
      <c r="C50" s="1">
        <v>75000</v>
      </c>
      <c r="D50" s="1">
        <v>0</v>
      </c>
      <c r="E50" s="2">
        <f>SUM(C50:D50)</f>
        <v>75000</v>
      </c>
    </row>
    <row r="51" spans="1:5" x14ac:dyDescent="0.3">
      <c r="B51" t="s">
        <v>41</v>
      </c>
      <c r="C51" s="1">
        <v>50000</v>
      </c>
      <c r="D51" s="1">
        <v>0</v>
      </c>
      <c r="E51" s="2">
        <f>SUM(C51:D51)</f>
        <v>50000</v>
      </c>
    </row>
    <row r="52" spans="1:5" x14ac:dyDescent="0.3">
      <c r="B52" t="s">
        <v>42</v>
      </c>
      <c r="C52" s="1">
        <v>100000</v>
      </c>
      <c r="D52" s="1">
        <v>0</v>
      </c>
      <c r="E52" s="2">
        <f>SUM(C52:D52)</f>
        <v>100000</v>
      </c>
    </row>
    <row r="53" spans="1:5" ht="14" x14ac:dyDescent="0.3">
      <c r="B53" s="19" t="s">
        <v>3</v>
      </c>
      <c r="C53" s="15">
        <f>SUM(C49:C52)</f>
        <v>345000</v>
      </c>
      <c r="D53" s="15">
        <f>SUM(D49:D52)</f>
        <v>0</v>
      </c>
      <c r="E53" s="15">
        <f>SUM(E49:E52)</f>
        <v>345000</v>
      </c>
    </row>
    <row r="54" spans="1:5" ht="6" customHeight="1" x14ac:dyDescent="0.3"/>
    <row r="55" spans="1:5" ht="15.5" x14ac:dyDescent="0.35">
      <c r="A55" s="17" t="s">
        <v>43</v>
      </c>
    </row>
    <row r="56" spans="1:5" x14ac:dyDescent="0.3">
      <c r="B56" t="s">
        <v>44</v>
      </c>
      <c r="C56" s="1">
        <v>285000</v>
      </c>
      <c r="D56" s="1">
        <v>0</v>
      </c>
      <c r="E56" s="2">
        <f>SUM(C56:D56)</f>
        <v>285000</v>
      </c>
    </row>
    <row r="57" spans="1:5" x14ac:dyDescent="0.3">
      <c r="B57" t="s">
        <v>45</v>
      </c>
      <c r="C57" s="1">
        <v>40500</v>
      </c>
      <c r="D57" s="1">
        <v>0</v>
      </c>
      <c r="E57" s="2">
        <f>SUM(C57:D57)</f>
        <v>40500</v>
      </c>
    </row>
    <row r="58" spans="1:5" x14ac:dyDescent="0.3">
      <c r="B58" t="s">
        <v>46</v>
      </c>
      <c r="C58" s="1">
        <v>250000</v>
      </c>
      <c r="D58" s="1">
        <v>0</v>
      </c>
      <c r="E58" s="2">
        <f>SUM(C58:D58)</f>
        <v>250000</v>
      </c>
    </row>
    <row r="59" spans="1:5" x14ac:dyDescent="0.3">
      <c r="B59" t="s">
        <v>47</v>
      </c>
      <c r="C59" s="1">
        <v>60750</v>
      </c>
      <c r="D59" s="1">
        <v>0</v>
      </c>
      <c r="E59" s="2">
        <f>SUM(C59:D59)</f>
        <v>60750</v>
      </c>
    </row>
    <row r="60" spans="1:5" x14ac:dyDescent="0.3">
      <c r="B60" t="s">
        <v>48</v>
      </c>
      <c r="C60" s="1">
        <v>13500</v>
      </c>
      <c r="D60" s="1">
        <v>0</v>
      </c>
      <c r="E60" s="2">
        <f>SUM(C60:D60)</f>
        <v>13500</v>
      </c>
    </row>
    <row r="61" spans="1:5" ht="14" x14ac:dyDescent="0.3">
      <c r="B61" s="19" t="s">
        <v>3</v>
      </c>
      <c r="C61" s="15">
        <f>SUM(C56:C60)</f>
        <v>649750</v>
      </c>
      <c r="D61" s="15">
        <f>SUM(D56:D60)</f>
        <v>0</v>
      </c>
      <c r="E61" s="15">
        <f>SUM(E56:E60)</f>
        <v>649750</v>
      </c>
    </row>
    <row r="62" spans="1:5" ht="6" customHeight="1" x14ac:dyDescent="0.3"/>
    <row r="63" spans="1:5" ht="15.5" x14ac:dyDescent="0.35">
      <c r="A63" s="17" t="s">
        <v>49</v>
      </c>
    </row>
    <row r="64" spans="1:5" x14ac:dyDescent="0.3">
      <c r="B64" t="s">
        <v>121</v>
      </c>
      <c r="C64" s="1">
        <v>800000</v>
      </c>
      <c r="D64" s="1">
        <v>0</v>
      </c>
      <c r="E64" s="2">
        <f>SUM(C64:D64)</f>
        <v>800000</v>
      </c>
    </row>
    <row r="65" spans="1:5" ht="14" x14ac:dyDescent="0.3">
      <c r="B65" s="19" t="s">
        <v>3</v>
      </c>
      <c r="C65" s="15">
        <f>SUM(C64)</f>
        <v>800000</v>
      </c>
      <c r="D65" s="15">
        <f>SUM(D64)</f>
        <v>0</v>
      </c>
      <c r="E65" s="15">
        <f>SUM(E64)</f>
        <v>800000</v>
      </c>
    </row>
    <row r="66" spans="1:5" ht="6" customHeight="1" x14ac:dyDescent="0.3"/>
    <row r="67" spans="1:5" ht="15.5" x14ac:dyDescent="0.35">
      <c r="A67" s="17" t="s">
        <v>50</v>
      </c>
    </row>
    <row r="68" spans="1:5" x14ac:dyDescent="0.3">
      <c r="B68" t="s">
        <v>53</v>
      </c>
      <c r="C68" s="1">
        <v>75000</v>
      </c>
      <c r="E68" s="2">
        <f>SUM(C68:D68)</f>
        <v>75000</v>
      </c>
    </row>
    <row r="69" spans="1:5" x14ac:dyDescent="0.3">
      <c r="B69" t="s">
        <v>54</v>
      </c>
      <c r="C69" s="1">
        <v>0</v>
      </c>
      <c r="E69" s="2">
        <f>SUM(C69:D69)</f>
        <v>0</v>
      </c>
    </row>
    <row r="70" spans="1:5" ht="14" x14ac:dyDescent="0.3">
      <c r="B70" s="19" t="s">
        <v>3</v>
      </c>
      <c r="C70" s="15">
        <f>SUM(C68:C69)</f>
        <v>75000</v>
      </c>
      <c r="D70" s="15">
        <f>SUM(D68:D69)</f>
        <v>0</v>
      </c>
      <c r="E70" s="15">
        <f>SUM(E68:E69)</f>
        <v>75000</v>
      </c>
    </row>
    <row r="71" spans="1:5" ht="12" customHeight="1" x14ac:dyDescent="0.3"/>
    <row r="72" spans="1:5" ht="15.5" x14ac:dyDescent="0.35">
      <c r="A72" s="4" t="s">
        <v>55</v>
      </c>
      <c r="C72" s="15">
        <f>C70+C65+C61+C53+C46+C30+C26</f>
        <v>17012633</v>
      </c>
      <c r="D72" s="15">
        <f>D70+D65+D61+D53+D46+D30+D26</f>
        <v>0</v>
      </c>
      <c r="E72" s="15">
        <f>E70+E65+E61+E53+E46+E30+E26</f>
        <v>17012633</v>
      </c>
    </row>
    <row r="74" spans="1:5" ht="15.5" x14ac:dyDescent="0.35">
      <c r="A74" s="4" t="s">
        <v>56</v>
      </c>
      <c r="C74" s="22">
        <f>C18-C72</f>
        <v>-17012633</v>
      </c>
      <c r="D74" s="22">
        <f>D18-D72</f>
        <v>0</v>
      </c>
      <c r="E74" s="22">
        <f>E18-E72</f>
        <v>-17012633</v>
      </c>
    </row>
  </sheetData>
  <pageMargins left="0.74791666666666667" right="0.74791666666666667" top="0.98402777777777783" bottom="0.98402777777777783" header="0.51180555555555562" footer="0.51180555555555562"/>
  <pageSetup paperSize="9" scale="84" firstPageNumber="0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9"/>
  <sheetViews>
    <sheetView zoomScaleSheetLayoutView="75" workbookViewId="0"/>
  </sheetViews>
  <sheetFormatPr defaultRowHeight="12.5" x14ac:dyDescent="0.25"/>
  <cols>
    <col min="1" max="1" width="4.81640625" customWidth="1"/>
    <col min="2" max="2" width="11.26953125" customWidth="1"/>
  </cols>
  <sheetData>
    <row r="1" spans="1:15" ht="13" x14ac:dyDescent="0.3">
      <c r="A1" s="50" t="s">
        <v>240</v>
      </c>
    </row>
    <row r="2" spans="1:15" ht="13" x14ac:dyDescent="0.3">
      <c r="A2" s="50" t="s">
        <v>1</v>
      </c>
    </row>
    <row r="3" spans="1:15" ht="13" x14ac:dyDescent="0.3">
      <c r="A3" s="50" t="s">
        <v>122</v>
      </c>
    </row>
    <row r="5" spans="1:15" ht="13" x14ac:dyDescent="0.3">
      <c r="A5" s="50" t="s">
        <v>123</v>
      </c>
    </row>
    <row r="7" spans="1:15" ht="13" x14ac:dyDescent="0.3">
      <c r="A7" s="51">
        <v>1</v>
      </c>
      <c r="B7" s="50" t="s">
        <v>124</v>
      </c>
    </row>
    <row r="10" spans="1:15" ht="13" x14ac:dyDescent="0.3">
      <c r="C10" s="52" t="s">
        <v>64</v>
      </c>
      <c r="D10" s="52" t="s">
        <v>65</v>
      </c>
      <c r="E10" s="52" t="s">
        <v>66</v>
      </c>
      <c r="F10" s="52" t="s">
        <v>67</v>
      </c>
      <c r="G10" s="52" t="s">
        <v>68</v>
      </c>
      <c r="H10" s="52" t="s">
        <v>69</v>
      </c>
      <c r="I10" s="52" t="s">
        <v>70</v>
      </c>
      <c r="J10" s="52" t="s">
        <v>71</v>
      </c>
      <c r="K10" s="52" t="s">
        <v>72</v>
      </c>
      <c r="L10" s="52" t="s">
        <v>60</v>
      </c>
      <c r="M10" s="52" t="s">
        <v>61</v>
      </c>
      <c r="N10" s="52" t="s">
        <v>62</v>
      </c>
    </row>
    <row r="12" spans="1:15" ht="13" x14ac:dyDescent="0.3">
      <c r="B12" s="3" t="s">
        <v>125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</row>
    <row r="13" spans="1:15" ht="13" x14ac:dyDescent="0.3">
      <c r="B13" s="3" t="s">
        <v>126</v>
      </c>
      <c r="C13" s="54">
        <v>80</v>
      </c>
      <c r="D13" s="54">
        <v>80</v>
      </c>
      <c r="E13" s="54">
        <v>80</v>
      </c>
      <c r="F13" s="54">
        <v>80</v>
      </c>
      <c r="G13" s="54">
        <v>80</v>
      </c>
      <c r="H13" s="54">
        <v>80</v>
      </c>
      <c r="I13" s="54">
        <v>80</v>
      </c>
      <c r="J13" s="54">
        <v>80</v>
      </c>
      <c r="K13" s="54">
        <v>80</v>
      </c>
      <c r="L13" s="54">
        <v>80</v>
      </c>
      <c r="M13" s="54">
        <v>80</v>
      </c>
      <c r="N13" s="54">
        <v>80</v>
      </c>
    </row>
    <row r="14" spans="1:15" ht="13" x14ac:dyDescent="0.3">
      <c r="B14" s="3" t="s">
        <v>127</v>
      </c>
      <c r="C14" s="54">
        <v>85</v>
      </c>
      <c r="D14" s="54">
        <v>85</v>
      </c>
      <c r="E14" s="54">
        <v>85</v>
      </c>
      <c r="F14" s="54">
        <v>85</v>
      </c>
      <c r="G14" s="54">
        <v>85</v>
      </c>
      <c r="H14" s="54">
        <v>85</v>
      </c>
      <c r="I14" s="54">
        <v>85</v>
      </c>
      <c r="J14" s="54">
        <v>85</v>
      </c>
      <c r="K14" s="54">
        <v>85</v>
      </c>
      <c r="L14" s="54">
        <v>85</v>
      </c>
      <c r="M14" s="54">
        <v>85</v>
      </c>
      <c r="N14" s="54">
        <v>85</v>
      </c>
    </row>
    <row r="15" spans="1:15" ht="13" x14ac:dyDescent="0.3">
      <c r="B15" s="3" t="s">
        <v>128</v>
      </c>
      <c r="C15" s="54">
        <v>90</v>
      </c>
      <c r="D15" s="54">
        <v>90</v>
      </c>
      <c r="E15" s="54">
        <v>90</v>
      </c>
      <c r="F15" s="54">
        <v>90</v>
      </c>
      <c r="G15" s="54">
        <v>90</v>
      </c>
      <c r="H15" s="54">
        <v>90</v>
      </c>
      <c r="I15" s="54">
        <v>90</v>
      </c>
      <c r="J15" s="54">
        <v>90</v>
      </c>
      <c r="K15" s="54">
        <v>90</v>
      </c>
      <c r="L15" s="54">
        <v>90</v>
      </c>
      <c r="M15" s="54">
        <v>90</v>
      </c>
      <c r="N15" s="54">
        <v>90</v>
      </c>
      <c r="O15" t="s">
        <v>129</v>
      </c>
    </row>
    <row r="16" spans="1:15" ht="13" x14ac:dyDescent="0.3">
      <c r="B16" s="3" t="s">
        <v>130</v>
      </c>
      <c r="C16" s="54">
        <v>95</v>
      </c>
      <c r="D16" s="54">
        <v>95</v>
      </c>
      <c r="E16" s="54">
        <v>95</v>
      </c>
      <c r="F16" s="54">
        <v>95</v>
      </c>
      <c r="G16" s="54">
        <v>95</v>
      </c>
      <c r="H16" s="54">
        <v>95</v>
      </c>
      <c r="I16" s="54">
        <v>95</v>
      </c>
      <c r="J16" s="54">
        <v>95</v>
      </c>
      <c r="K16" s="54">
        <v>95</v>
      </c>
      <c r="L16" s="54">
        <v>95</v>
      </c>
      <c r="M16" s="54">
        <v>95</v>
      </c>
      <c r="N16" s="54">
        <v>95</v>
      </c>
      <c r="O16" s="55">
        <f>SUM(C16:N16)*30/12</f>
        <v>2850</v>
      </c>
    </row>
    <row r="18" spans="1:15" ht="13" x14ac:dyDescent="0.3">
      <c r="A18" s="51">
        <v>2</v>
      </c>
      <c r="B18" s="50" t="s">
        <v>131</v>
      </c>
    </row>
    <row r="21" spans="1:15" ht="13" x14ac:dyDescent="0.3">
      <c r="C21" s="52" t="s">
        <v>64</v>
      </c>
      <c r="D21" s="52" t="s">
        <v>65</v>
      </c>
      <c r="E21" s="52" t="s">
        <v>66</v>
      </c>
      <c r="F21" s="52" t="s">
        <v>67</v>
      </c>
      <c r="G21" s="52" t="s">
        <v>68</v>
      </c>
      <c r="H21" s="52" t="s">
        <v>69</v>
      </c>
      <c r="I21" s="52" t="s">
        <v>70</v>
      </c>
      <c r="J21" s="52" t="s">
        <v>71</v>
      </c>
      <c r="K21" s="52" t="s">
        <v>72</v>
      </c>
      <c r="L21" s="52" t="s">
        <v>60</v>
      </c>
      <c r="M21" s="52" t="s">
        <v>61</v>
      </c>
      <c r="N21" s="52" t="s">
        <v>62</v>
      </c>
    </row>
    <row r="23" spans="1:15" ht="13" x14ac:dyDescent="0.3">
      <c r="B23" s="3" t="s">
        <v>125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</row>
    <row r="24" spans="1:15" ht="13" x14ac:dyDescent="0.3">
      <c r="B24" s="3" t="s">
        <v>126</v>
      </c>
      <c r="C24" s="54">
        <v>10</v>
      </c>
      <c r="D24" s="54">
        <v>10</v>
      </c>
      <c r="E24" s="54">
        <v>25</v>
      </c>
      <c r="F24" s="54">
        <v>25</v>
      </c>
      <c r="G24" s="54">
        <v>25</v>
      </c>
      <c r="H24" s="54">
        <v>10</v>
      </c>
      <c r="I24" s="54">
        <v>10</v>
      </c>
      <c r="J24" s="54">
        <v>10</v>
      </c>
      <c r="K24" s="54">
        <v>16</v>
      </c>
      <c r="L24" s="54">
        <v>10</v>
      </c>
      <c r="M24" s="54">
        <v>10</v>
      </c>
      <c r="N24" s="54">
        <v>10</v>
      </c>
    </row>
    <row r="25" spans="1:15" ht="13" x14ac:dyDescent="0.3">
      <c r="B25" s="3" t="s">
        <v>127</v>
      </c>
      <c r="C25" s="54">
        <v>15</v>
      </c>
      <c r="D25" s="54">
        <v>15</v>
      </c>
      <c r="E25" s="54">
        <v>30</v>
      </c>
      <c r="F25" s="54">
        <v>30</v>
      </c>
      <c r="G25" s="54">
        <v>30</v>
      </c>
      <c r="H25" s="54">
        <v>15</v>
      </c>
      <c r="I25" s="54">
        <v>15</v>
      </c>
      <c r="J25" s="54">
        <v>15</v>
      </c>
      <c r="K25" s="54">
        <v>20</v>
      </c>
      <c r="L25" s="54">
        <v>15</v>
      </c>
      <c r="M25" s="54">
        <v>15</v>
      </c>
      <c r="N25" s="54">
        <v>15</v>
      </c>
    </row>
    <row r="26" spans="1:15" ht="13" x14ac:dyDescent="0.3">
      <c r="B26" s="3" t="s">
        <v>128</v>
      </c>
      <c r="C26" s="54">
        <v>20</v>
      </c>
      <c r="D26" s="54">
        <v>20</v>
      </c>
      <c r="E26" s="54">
        <v>30</v>
      </c>
      <c r="F26" s="54">
        <v>30</v>
      </c>
      <c r="G26" s="54">
        <v>30</v>
      </c>
      <c r="H26" s="54">
        <v>15</v>
      </c>
      <c r="I26" s="54">
        <v>15</v>
      </c>
      <c r="J26" s="54">
        <v>15</v>
      </c>
      <c r="K26" s="54">
        <v>20</v>
      </c>
      <c r="L26" s="54">
        <v>15</v>
      </c>
      <c r="M26" s="54">
        <v>15</v>
      </c>
      <c r="N26" s="54">
        <v>15</v>
      </c>
      <c r="O26" t="s">
        <v>129</v>
      </c>
    </row>
    <row r="27" spans="1:15" ht="13" x14ac:dyDescent="0.3">
      <c r="B27" s="3" t="s">
        <v>130</v>
      </c>
      <c r="C27" s="54">
        <v>25</v>
      </c>
      <c r="D27" s="54">
        <v>20</v>
      </c>
      <c r="E27" s="54">
        <v>30</v>
      </c>
      <c r="F27" s="54">
        <v>30</v>
      </c>
      <c r="G27" s="54">
        <v>30</v>
      </c>
      <c r="H27" s="54">
        <v>15</v>
      </c>
      <c r="I27" s="54">
        <v>15</v>
      </c>
      <c r="J27" s="54">
        <v>15</v>
      </c>
      <c r="K27" s="54">
        <v>20</v>
      </c>
      <c r="L27" s="54">
        <v>15</v>
      </c>
      <c r="M27" s="54">
        <v>15</v>
      </c>
      <c r="N27" s="54">
        <v>15</v>
      </c>
      <c r="O27" s="55">
        <f>SUM(C27:N27)*30/12</f>
        <v>612.5</v>
      </c>
    </row>
    <row r="29" spans="1:15" ht="13" x14ac:dyDescent="0.3">
      <c r="A29" s="51">
        <v>3</v>
      </c>
      <c r="B29" s="50" t="s">
        <v>132</v>
      </c>
    </row>
    <row r="32" spans="1:15" ht="13" x14ac:dyDescent="0.3">
      <c r="C32" s="52" t="s">
        <v>64</v>
      </c>
      <c r="D32" s="52" t="s">
        <v>65</v>
      </c>
      <c r="E32" s="52" t="s">
        <v>66</v>
      </c>
      <c r="F32" s="52" t="s">
        <v>67</v>
      </c>
      <c r="G32" s="52" t="s">
        <v>68</v>
      </c>
      <c r="H32" s="52" t="s">
        <v>69</v>
      </c>
      <c r="I32" s="52" t="s">
        <v>70</v>
      </c>
      <c r="J32" s="52" t="s">
        <v>71</v>
      </c>
      <c r="K32" s="52" t="s">
        <v>72</v>
      </c>
      <c r="L32" s="52" t="s">
        <v>60</v>
      </c>
      <c r="M32" s="52" t="s">
        <v>61</v>
      </c>
      <c r="N32" s="52" t="s">
        <v>62</v>
      </c>
    </row>
    <row r="34" spans="1:14" ht="13" x14ac:dyDescent="0.3">
      <c r="B34" s="3" t="s">
        <v>125</v>
      </c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</row>
    <row r="35" spans="1:14" ht="13" x14ac:dyDescent="0.3">
      <c r="B35" s="3" t="s">
        <v>126</v>
      </c>
      <c r="C35" s="54">
        <v>205</v>
      </c>
      <c r="D35" s="54">
        <v>205</v>
      </c>
      <c r="E35" s="54">
        <v>205</v>
      </c>
      <c r="F35" s="54">
        <v>205</v>
      </c>
      <c r="G35" s="54">
        <v>205</v>
      </c>
      <c r="H35" s="54">
        <v>205</v>
      </c>
      <c r="I35" s="54">
        <v>205</v>
      </c>
      <c r="J35" s="54">
        <v>205</v>
      </c>
      <c r="K35" s="54">
        <v>205</v>
      </c>
      <c r="L35" s="54">
        <v>205</v>
      </c>
      <c r="M35" s="54">
        <v>205</v>
      </c>
      <c r="N35" s="54">
        <v>205</v>
      </c>
    </row>
    <row r="36" spans="1:14" ht="13" x14ac:dyDescent="0.3">
      <c r="B36" s="3" t="s">
        <v>127</v>
      </c>
      <c r="C36" s="54">
        <v>210</v>
      </c>
      <c r="D36" s="54">
        <v>210</v>
      </c>
      <c r="E36" s="54">
        <v>210</v>
      </c>
      <c r="F36" s="54">
        <v>210</v>
      </c>
      <c r="G36" s="54">
        <v>210</v>
      </c>
      <c r="H36" s="54">
        <v>210</v>
      </c>
      <c r="I36" s="54">
        <v>210</v>
      </c>
      <c r="J36" s="54">
        <v>210</v>
      </c>
      <c r="K36" s="54">
        <v>210</v>
      </c>
      <c r="L36" s="54">
        <v>210</v>
      </c>
      <c r="M36" s="54">
        <v>210</v>
      </c>
      <c r="N36" s="54">
        <v>210</v>
      </c>
    </row>
    <row r="37" spans="1:14" ht="13" x14ac:dyDescent="0.3">
      <c r="B37" s="3" t="s">
        <v>128</v>
      </c>
      <c r="C37" s="54">
        <v>215</v>
      </c>
      <c r="D37" s="54">
        <v>215</v>
      </c>
      <c r="E37" s="54">
        <v>215</v>
      </c>
      <c r="F37" s="54">
        <v>215</v>
      </c>
      <c r="G37" s="54">
        <v>215</v>
      </c>
      <c r="H37" s="54">
        <v>215</v>
      </c>
      <c r="I37" s="54">
        <v>215</v>
      </c>
      <c r="J37" s="54">
        <v>215</v>
      </c>
      <c r="K37" s="54">
        <v>215</v>
      </c>
      <c r="L37" s="54">
        <v>215</v>
      </c>
      <c r="M37" s="54">
        <v>215</v>
      </c>
      <c r="N37" s="54">
        <v>215</v>
      </c>
    </row>
    <row r="38" spans="1:14" ht="13" x14ac:dyDescent="0.3">
      <c r="B38" s="3" t="s">
        <v>130</v>
      </c>
      <c r="C38" s="54">
        <v>220</v>
      </c>
      <c r="D38" s="54">
        <v>220</v>
      </c>
      <c r="E38" s="54">
        <v>220</v>
      </c>
      <c r="F38" s="54">
        <v>220</v>
      </c>
      <c r="G38" s="54">
        <v>220</v>
      </c>
      <c r="H38" s="54">
        <v>220</v>
      </c>
      <c r="I38" s="54">
        <v>220</v>
      </c>
      <c r="J38" s="54">
        <v>220</v>
      </c>
      <c r="K38" s="54">
        <v>220</v>
      </c>
      <c r="L38" s="54">
        <v>220</v>
      </c>
      <c r="M38" s="54">
        <v>220</v>
      </c>
      <c r="N38" s="54">
        <v>220</v>
      </c>
    </row>
    <row r="39" spans="1:14" x14ac:dyDescent="0.25">
      <c r="F39" s="53"/>
    </row>
    <row r="40" spans="1:14" ht="13" x14ac:dyDescent="0.3">
      <c r="A40" s="51">
        <v>4</v>
      </c>
      <c r="B40" s="50" t="s">
        <v>133</v>
      </c>
    </row>
    <row r="43" spans="1:14" ht="13" x14ac:dyDescent="0.3">
      <c r="C43" s="52" t="s">
        <v>64</v>
      </c>
      <c r="D43" s="52" t="s">
        <v>65</v>
      </c>
      <c r="E43" s="52" t="s">
        <v>66</v>
      </c>
      <c r="F43" s="52" t="s">
        <v>67</v>
      </c>
      <c r="G43" s="52" t="s">
        <v>68</v>
      </c>
      <c r="H43" s="52" t="s">
        <v>69</v>
      </c>
      <c r="I43" s="52" t="s">
        <v>70</v>
      </c>
      <c r="J43" s="52" t="s">
        <v>71</v>
      </c>
      <c r="K43" s="52" t="s">
        <v>72</v>
      </c>
      <c r="L43" s="52" t="s">
        <v>60</v>
      </c>
      <c r="M43" s="52" t="s">
        <v>61</v>
      </c>
      <c r="N43" s="52" t="s">
        <v>62</v>
      </c>
    </row>
    <row r="45" spans="1:14" ht="13" x14ac:dyDescent="0.3">
      <c r="B45" s="3" t="s">
        <v>125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4" ht="13" x14ac:dyDescent="0.3">
      <c r="B46" s="3" t="s">
        <v>126</v>
      </c>
      <c r="C46" s="54">
        <v>50</v>
      </c>
      <c r="D46" s="54">
        <v>50</v>
      </c>
      <c r="E46" s="54">
        <v>60</v>
      </c>
      <c r="F46" s="54">
        <v>100</v>
      </c>
      <c r="G46" s="54">
        <v>100</v>
      </c>
      <c r="H46" s="54">
        <v>50</v>
      </c>
      <c r="I46" s="54">
        <v>50</v>
      </c>
      <c r="J46" s="54">
        <v>50</v>
      </c>
      <c r="K46" s="54">
        <v>50</v>
      </c>
      <c r="L46" s="54">
        <v>50</v>
      </c>
      <c r="M46" s="54">
        <v>50</v>
      </c>
      <c r="N46" s="54">
        <v>50</v>
      </c>
    </row>
    <row r="47" spans="1:14" ht="13" x14ac:dyDescent="0.3">
      <c r="B47" s="3" t="s">
        <v>127</v>
      </c>
      <c r="C47" s="54">
        <v>55</v>
      </c>
      <c r="D47" s="54">
        <v>55</v>
      </c>
      <c r="E47" s="54">
        <v>65</v>
      </c>
      <c r="F47" s="54">
        <v>105</v>
      </c>
      <c r="G47" s="54">
        <v>105</v>
      </c>
      <c r="H47" s="54">
        <v>55</v>
      </c>
      <c r="I47" s="54">
        <v>55</v>
      </c>
      <c r="J47" s="54">
        <v>55</v>
      </c>
      <c r="K47" s="54">
        <v>55</v>
      </c>
      <c r="L47" s="54">
        <v>55</v>
      </c>
      <c r="M47" s="54">
        <v>55</v>
      </c>
      <c r="N47" s="54">
        <v>55</v>
      </c>
    </row>
    <row r="48" spans="1:14" ht="13" x14ac:dyDescent="0.3">
      <c r="B48" s="3" t="s">
        <v>128</v>
      </c>
      <c r="C48" s="54">
        <v>60</v>
      </c>
      <c r="D48" s="54">
        <v>60</v>
      </c>
      <c r="E48" s="54">
        <v>70</v>
      </c>
      <c r="F48" s="54">
        <v>110</v>
      </c>
      <c r="G48" s="54">
        <v>110</v>
      </c>
      <c r="H48" s="54">
        <v>60</v>
      </c>
      <c r="I48" s="54">
        <v>60</v>
      </c>
      <c r="J48" s="54">
        <v>60</v>
      </c>
      <c r="K48" s="54">
        <v>60</v>
      </c>
      <c r="L48" s="54">
        <v>60</v>
      </c>
      <c r="M48" s="54">
        <v>60</v>
      </c>
      <c r="N48" s="54">
        <v>60</v>
      </c>
    </row>
    <row r="49" spans="1:14" ht="13" x14ac:dyDescent="0.3">
      <c r="B49" s="3" t="s">
        <v>130</v>
      </c>
      <c r="C49" s="54">
        <v>60</v>
      </c>
      <c r="D49" s="54">
        <v>60</v>
      </c>
      <c r="E49" s="54">
        <v>70</v>
      </c>
      <c r="F49" s="54">
        <v>110</v>
      </c>
      <c r="G49" s="54">
        <v>110</v>
      </c>
      <c r="H49" s="54">
        <v>65</v>
      </c>
      <c r="I49" s="54">
        <v>65</v>
      </c>
      <c r="J49" s="54">
        <v>60</v>
      </c>
      <c r="K49" s="54">
        <v>60</v>
      </c>
      <c r="L49" s="54">
        <v>60</v>
      </c>
      <c r="M49" s="54">
        <v>60</v>
      </c>
      <c r="N49" s="54">
        <v>60</v>
      </c>
    </row>
    <row r="52" spans="1:14" ht="13" x14ac:dyDescent="0.3">
      <c r="A52" s="50" t="s">
        <v>134</v>
      </c>
    </row>
    <row r="54" spans="1:14" ht="13" x14ac:dyDescent="0.3">
      <c r="A54" s="51">
        <v>1</v>
      </c>
      <c r="B54" s="50" t="s">
        <v>124</v>
      </c>
    </row>
    <row r="55" spans="1:14" ht="15" customHeight="1" x14ac:dyDescent="0.25"/>
    <row r="57" spans="1:14" ht="13" x14ac:dyDescent="0.3">
      <c r="C57" s="52" t="s">
        <v>64</v>
      </c>
      <c r="D57" s="52" t="s">
        <v>65</v>
      </c>
      <c r="E57" s="52" t="s">
        <v>66</v>
      </c>
      <c r="F57" s="52" t="s">
        <v>67</v>
      </c>
      <c r="G57" s="52" t="s">
        <v>68</v>
      </c>
      <c r="H57" s="52" t="s">
        <v>69</v>
      </c>
      <c r="I57" s="52" t="s">
        <v>70</v>
      </c>
      <c r="J57" s="52" t="s">
        <v>71</v>
      </c>
      <c r="K57" s="52" t="s">
        <v>72</v>
      </c>
      <c r="L57" s="52" t="s">
        <v>60</v>
      </c>
      <c r="M57" s="52" t="s">
        <v>61</v>
      </c>
      <c r="N57" s="52" t="s">
        <v>62</v>
      </c>
    </row>
    <row r="59" spans="1:14" ht="13" x14ac:dyDescent="0.3">
      <c r="B59" s="3" t="s">
        <v>125</v>
      </c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</row>
    <row r="60" spans="1:14" ht="13" x14ac:dyDescent="0.3">
      <c r="B60" s="3" t="s">
        <v>126</v>
      </c>
      <c r="C60" s="54">
        <v>80</v>
      </c>
      <c r="D60" s="54">
        <v>80</v>
      </c>
      <c r="E60" s="54">
        <v>80</v>
      </c>
      <c r="F60" s="54">
        <v>80</v>
      </c>
      <c r="G60" s="54">
        <v>80</v>
      </c>
      <c r="H60" s="54">
        <v>80</v>
      </c>
      <c r="I60" s="54">
        <v>80</v>
      </c>
      <c r="J60" s="54">
        <v>80</v>
      </c>
      <c r="K60" s="54">
        <v>80</v>
      </c>
      <c r="L60" s="54">
        <v>80</v>
      </c>
      <c r="M60" s="54">
        <v>80</v>
      </c>
      <c r="N60" s="54">
        <v>80</v>
      </c>
    </row>
    <row r="61" spans="1:14" ht="13" x14ac:dyDescent="0.3">
      <c r="B61" s="3" t="s">
        <v>127</v>
      </c>
      <c r="C61" s="54">
        <v>80</v>
      </c>
      <c r="D61" s="54">
        <v>80</v>
      </c>
      <c r="E61" s="54">
        <v>80</v>
      </c>
      <c r="F61" s="54">
        <v>80</v>
      </c>
      <c r="G61" s="54">
        <v>80</v>
      </c>
      <c r="H61" s="54">
        <v>80</v>
      </c>
      <c r="I61" s="54">
        <v>80</v>
      </c>
      <c r="J61" s="54">
        <v>80</v>
      </c>
      <c r="K61" s="54">
        <v>80</v>
      </c>
      <c r="L61" s="54">
        <v>80</v>
      </c>
      <c r="M61" s="54">
        <v>80</v>
      </c>
      <c r="N61" s="54">
        <v>80</v>
      </c>
    </row>
    <row r="62" spans="1:14" ht="13" x14ac:dyDescent="0.3">
      <c r="B62" s="3" t="s">
        <v>128</v>
      </c>
      <c r="C62" s="54">
        <v>80</v>
      </c>
      <c r="D62" s="54">
        <v>80</v>
      </c>
      <c r="E62" s="54">
        <v>80</v>
      </c>
      <c r="F62" s="54">
        <v>80</v>
      </c>
      <c r="G62" s="54">
        <v>80</v>
      </c>
      <c r="H62" s="54">
        <v>80</v>
      </c>
      <c r="I62" s="54">
        <v>80</v>
      </c>
      <c r="J62" s="54">
        <v>80</v>
      </c>
      <c r="K62" s="54">
        <v>80</v>
      </c>
      <c r="L62" s="54">
        <v>80</v>
      </c>
      <c r="M62" s="54">
        <v>80</v>
      </c>
      <c r="N62" s="54">
        <v>80</v>
      </c>
    </row>
    <row r="63" spans="1:14" ht="13" x14ac:dyDescent="0.3">
      <c r="B63" s="3" t="s">
        <v>130</v>
      </c>
      <c r="C63" s="54">
        <v>80</v>
      </c>
      <c r="D63" s="54">
        <v>80</v>
      </c>
      <c r="E63" s="54">
        <v>80</v>
      </c>
      <c r="F63" s="54">
        <v>80</v>
      </c>
      <c r="G63" s="54">
        <v>80</v>
      </c>
      <c r="H63" s="54">
        <v>80</v>
      </c>
      <c r="I63" s="54">
        <v>80</v>
      </c>
      <c r="J63" s="54">
        <v>80</v>
      </c>
      <c r="K63" s="54">
        <v>80</v>
      </c>
      <c r="L63" s="54">
        <v>80</v>
      </c>
      <c r="M63" s="54">
        <v>80</v>
      </c>
      <c r="N63" s="54">
        <v>80</v>
      </c>
    </row>
    <row r="65" spans="1:14" ht="13" x14ac:dyDescent="0.3">
      <c r="A65" s="51">
        <v>2</v>
      </c>
      <c r="B65" s="50" t="s">
        <v>131</v>
      </c>
    </row>
    <row r="68" spans="1:14" ht="13" x14ac:dyDescent="0.3">
      <c r="C68" s="52" t="s">
        <v>64</v>
      </c>
      <c r="D68" s="52" t="s">
        <v>65</v>
      </c>
      <c r="E68" s="52" t="s">
        <v>66</v>
      </c>
      <c r="F68" s="52" t="s">
        <v>67</v>
      </c>
      <c r="G68" s="52" t="s">
        <v>68</v>
      </c>
      <c r="H68" s="52" t="s">
        <v>69</v>
      </c>
      <c r="I68" s="52" t="s">
        <v>70</v>
      </c>
      <c r="J68" s="52" t="s">
        <v>71</v>
      </c>
      <c r="K68" s="52" t="s">
        <v>72</v>
      </c>
      <c r="L68" s="52" t="s">
        <v>60</v>
      </c>
      <c r="M68" s="52" t="s">
        <v>61</v>
      </c>
      <c r="N68" s="52" t="s">
        <v>62</v>
      </c>
    </row>
    <row r="70" spans="1:14" ht="13" x14ac:dyDescent="0.3">
      <c r="B70" s="3" t="s">
        <v>125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</row>
    <row r="71" spans="1:14" ht="13" x14ac:dyDescent="0.3">
      <c r="B71" s="3" t="s">
        <v>126</v>
      </c>
      <c r="C71" s="54">
        <v>10</v>
      </c>
      <c r="D71" s="54">
        <v>10</v>
      </c>
      <c r="E71" s="54">
        <v>25</v>
      </c>
      <c r="F71" s="54">
        <v>25</v>
      </c>
      <c r="G71" s="54">
        <v>25</v>
      </c>
      <c r="H71" s="54">
        <v>10</v>
      </c>
      <c r="I71" s="54">
        <v>10</v>
      </c>
      <c r="J71" s="54">
        <v>10</v>
      </c>
      <c r="K71" s="54">
        <v>16</v>
      </c>
      <c r="L71" s="54">
        <v>10</v>
      </c>
      <c r="M71" s="54">
        <v>10</v>
      </c>
      <c r="N71" s="54">
        <v>10</v>
      </c>
    </row>
    <row r="72" spans="1:14" ht="13" x14ac:dyDescent="0.3">
      <c r="B72" s="3" t="s">
        <v>127</v>
      </c>
      <c r="C72" s="54">
        <v>15</v>
      </c>
      <c r="D72" s="54">
        <v>15</v>
      </c>
      <c r="E72" s="54">
        <v>30</v>
      </c>
      <c r="F72" s="54">
        <v>30</v>
      </c>
      <c r="G72" s="54">
        <v>30</v>
      </c>
      <c r="H72" s="54">
        <v>15</v>
      </c>
      <c r="I72" s="54">
        <v>15</v>
      </c>
      <c r="J72" s="54">
        <v>15</v>
      </c>
      <c r="K72" s="54">
        <v>20</v>
      </c>
      <c r="L72" s="54">
        <v>15</v>
      </c>
      <c r="M72" s="54">
        <v>15</v>
      </c>
      <c r="N72" s="54">
        <v>15</v>
      </c>
    </row>
    <row r="73" spans="1:14" ht="13" x14ac:dyDescent="0.3">
      <c r="B73" s="3" t="s">
        <v>128</v>
      </c>
      <c r="C73" s="54">
        <v>20</v>
      </c>
      <c r="D73" s="54">
        <v>20</v>
      </c>
      <c r="E73" s="54">
        <v>30</v>
      </c>
      <c r="F73" s="54">
        <v>30</v>
      </c>
      <c r="G73" s="54">
        <v>30</v>
      </c>
      <c r="H73" s="54">
        <v>15</v>
      </c>
      <c r="I73" s="54">
        <v>15</v>
      </c>
      <c r="J73" s="54">
        <v>15</v>
      </c>
      <c r="K73" s="54">
        <v>20</v>
      </c>
      <c r="L73" s="54">
        <v>15</v>
      </c>
      <c r="M73" s="54">
        <v>15</v>
      </c>
      <c r="N73" s="54">
        <v>15</v>
      </c>
    </row>
    <row r="74" spans="1:14" ht="13" x14ac:dyDescent="0.3">
      <c r="B74" s="3" t="s">
        <v>130</v>
      </c>
      <c r="C74" s="54">
        <v>25</v>
      </c>
      <c r="D74" s="54">
        <v>20</v>
      </c>
      <c r="E74" s="54">
        <v>30</v>
      </c>
      <c r="F74" s="54">
        <v>30</v>
      </c>
      <c r="G74" s="54">
        <v>30</v>
      </c>
      <c r="H74" s="54">
        <v>15</v>
      </c>
      <c r="I74" s="54">
        <v>15</v>
      </c>
      <c r="J74" s="54">
        <v>15</v>
      </c>
      <c r="K74" s="54">
        <v>20</v>
      </c>
      <c r="L74" s="54">
        <v>15</v>
      </c>
      <c r="M74" s="54">
        <v>15</v>
      </c>
      <c r="N74" s="54">
        <v>15</v>
      </c>
    </row>
    <row r="76" spans="1:14" ht="13" x14ac:dyDescent="0.3">
      <c r="A76" s="51">
        <v>3</v>
      </c>
      <c r="B76" s="50" t="s">
        <v>135</v>
      </c>
    </row>
    <row r="79" spans="1:14" ht="13" x14ac:dyDescent="0.3">
      <c r="C79" s="52" t="s">
        <v>64</v>
      </c>
      <c r="D79" s="52" t="s">
        <v>65</v>
      </c>
      <c r="E79" s="52" t="s">
        <v>66</v>
      </c>
      <c r="F79" s="52" t="s">
        <v>67</v>
      </c>
      <c r="G79" s="52" t="s">
        <v>68</v>
      </c>
      <c r="H79" s="52" t="s">
        <v>69</v>
      </c>
      <c r="I79" s="52" t="s">
        <v>70</v>
      </c>
      <c r="J79" s="52" t="s">
        <v>71</v>
      </c>
      <c r="K79" s="52" t="s">
        <v>72</v>
      </c>
      <c r="L79" s="52" t="s">
        <v>60</v>
      </c>
      <c r="M79" s="52" t="s">
        <v>61</v>
      </c>
      <c r="N79" s="52" t="s">
        <v>62</v>
      </c>
    </row>
    <row r="81" spans="1:14" ht="13" x14ac:dyDescent="0.3">
      <c r="B81" s="3" t="s">
        <v>125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</row>
    <row r="82" spans="1:14" ht="13" x14ac:dyDescent="0.3">
      <c r="B82" s="3" t="s">
        <v>126</v>
      </c>
      <c r="C82" s="54">
        <v>205</v>
      </c>
      <c r="D82" s="54">
        <v>205</v>
      </c>
      <c r="E82" s="54">
        <v>205</v>
      </c>
      <c r="F82" s="54">
        <v>205</v>
      </c>
      <c r="G82" s="54">
        <v>205</v>
      </c>
      <c r="H82" s="54">
        <v>205</v>
      </c>
      <c r="I82" s="54">
        <v>205</v>
      </c>
      <c r="J82" s="54">
        <v>205</v>
      </c>
      <c r="K82" s="54">
        <v>205</v>
      </c>
      <c r="L82" s="54">
        <v>205</v>
      </c>
      <c r="M82" s="54">
        <v>205</v>
      </c>
      <c r="N82" s="54">
        <v>205</v>
      </c>
    </row>
    <row r="83" spans="1:14" ht="13" x14ac:dyDescent="0.3">
      <c r="B83" s="3" t="s">
        <v>127</v>
      </c>
      <c r="C83" s="54">
        <v>210</v>
      </c>
      <c r="D83" s="54">
        <v>210</v>
      </c>
      <c r="E83" s="54">
        <v>210</v>
      </c>
      <c r="F83" s="54">
        <v>210</v>
      </c>
      <c r="G83" s="54">
        <v>210</v>
      </c>
      <c r="H83" s="54">
        <v>210</v>
      </c>
      <c r="I83" s="54">
        <v>210</v>
      </c>
      <c r="J83" s="54">
        <v>210</v>
      </c>
      <c r="K83" s="54">
        <v>210</v>
      </c>
      <c r="L83" s="54">
        <v>210</v>
      </c>
      <c r="M83" s="54">
        <v>210</v>
      </c>
      <c r="N83" s="54">
        <v>210</v>
      </c>
    </row>
    <row r="84" spans="1:14" ht="13" x14ac:dyDescent="0.3">
      <c r="B84" s="3" t="s">
        <v>128</v>
      </c>
      <c r="C84" s="54">
        <v>215</v>
      </c>
      <c r="D84" s="54">
        <v>215</v>
      </c>
      <c r="E84" s="54">
        <v>215</v>
      </c>
      <c r="F84" s="54">
        <v>215</v>
      </c>
      <c r="G84" s="54">
        <v>215</v>
      </c>
      <c r="H84" s="54">
        <v>215</v>
      </c>
      <c r="I84" s="54">
        <v>215</v>
      </c>
      <c r="J84" s="54">
        <v>215</v>
      </c>
      <c r="K84" s="54">
        <v>215</v>
      </c>
      <c r="L84" s="54">
        <v>215</v>
      </c>
      <c r="M84" s="54">
        <v>215</v>
      </c>
      <c r="N84" s="54">
        <v>215</v>
      </c>
    </row>
    <row r="85" spans="1:14" ht="13" x14ac:dyDescent="0.3">
      <c r="B85" s="3" t="s">
        <v>130</v>
      </c>
      <c r="C85" s="54">
        <v>220</v>
      </c>
      <c r="D85" s="54">
        <v>220</v>
      </c>
      <c r="E85" s="54">
        <v>220</v>
      </c>
      <c r="F85" s="54">
        <v>220</v>
      </c>
      <c r="G85" s="54">
        <v>220</v>
      </c>
      <c r="H85" s="54">
        <v>220</v>
      </c>
      <c r="I85" s="54">
        <v>220</v>
      </c>
      <c r="J85" s="54">
        <v>220</v>
      </c>
      <c r="K85" s="54">
        <v>220</v>
      </c>
      <c r="L85" s="54">
        <v>220</v>
      </c>
      <c r="M85" s="54">
        <v>220</v>
      </c>
      <c r="N85" s="54">
        <v>220</v>
      </c>
    </row>
    <row r="87" spans="1:14" ht="13" x14ac:dyDescent="0.3">
      <c r="A87" s="51">
        <v>4</v>
      </c>
      <c r="B87" s="50" t="s">
        <v>136</v>
      </c>
    </row>
    <row r="90" spans="1:14" ht="13" x14ac:dyDescent="0.3">
      <c r="C90" s="52" t="s">
        <v>64</v>
      </c>
      <c r="D90" s="52" t="s">
        <v>65</v>
      </c>
      <c r="E90" s="52" t="s">
        <v>66</v>
      </c>
      <c r="F90" s="52" t="s">
        <v>67</v>
      </c>
      <c r="G90" s="52" t="s">
        <v>68</v>
      </c>
      <c r="H90" s="52" t="s">
        <v>69</v>
      </c>
      <c r="I90" s="52" t="s">
        <v>70</v>
      </c>
      <c r="J90" s="52" t="s">
        <v>71</v>
      </c>
      <c r="K90" s="52" t="s">
        <v>72</v>
      </c>
      <c r="L90" s="52" t="s">
        <v>60</v>
      </c>
      <c r="M90" s="52" t="s">
        <v>61</v>
      </c>
      <c r="N90" s="52" t="s">
        <v>62</v>
      </c>
    </row>
    <row r="92" spans="1:14" ht="13" x14ac:dyDescent="0.3">
      <c r="B92" s="3" t="s">
        <v>125</v>
      </c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</row>
    <row r="93" spans="1:14" ht="13" x14ac:dyDescent="0.3">
      <c r="B93" s="3" t="s">
        <v>126</v>
      </c>
      <c r="C93" s="54">
        <v>50</v>
      </c>
      <c r="D93" s="54">
        <v>50</v>
      </c>
      <c r="E93" s="54">
        <v>60</v>
      </c>
      <c r="F93" s="54">
        <v>100</v>
      </c>
      <c r="G93" s="54">
        <v>100</v>
      </c>
      <c r="H93" s="54">
        <v>50</v>
      </c>
      <c r="I93" s="54">
        <v>50</v>
      </c>
      <c r="J93" s="54">
        <v>50</v>
      </c>
      <c r="K93" s="54">
        <v>50</v>
      </c>
      <c r="L93" s="54">
        <v>50</v>
      </c>
      <c r="M93" s="54">
        <v>50</v>
      </c>
      <c r="N93" s="54">
        <v>50</v>
      </c>
    </row>
    <row r="94" spans="1:14" ht="13" x14ac:dyDescent="0.3">
      <c r="B94" s="3" t="s">
        <v>127</v>
      </c>
      <c r="C94" s="54">
        <v>55</v>
      </c>
      <c r="D94" s="54">
        <v>55</v>
      </c>
      <c r="E94" s="54">
        <v>65</v>
      </c>
      <c r="F94" s="54">
        <v>105</v>
      </c>
      <c r="G94" s="54">
        <v>105</v>
      </c>
      <c r="H94" s="54">
        <v>55</v>
      </c>
      <c r="I94" s="54">
        <v>55</v>
      </c>
      <c r="J94" s="54">
        <v>55</v>
      </c>
      <c r="K94" s="54">
        <v>55</v>
      </c>
      <c r="L94" s="54">
        <v>55</v>
      </c>
      <c r="M94" s="54">
        <v>55</v>
      </c>
      <c r="N94" s="54">
        <v>55</v>
      </c>
    </row>
    <row r="95" spans="1:14" ht="13" x14ac:dyDescent="0.3">
      <c r="B95" s="3" t="s">
        <v>128</v>
      </c>
      <c r="C95" s="54">
        <v>60</v>
      </c>
      <c r="D95" s="54">
        <v>60</v>
      </c>
      <c r="E95" s="54">
        <v>70</v>
      </c>
      <c r="F95" s="54">
        <v>110</v>
      </c>
      <c r="G95" s="54">
        <v>110</v>
      </c>
      <c r="H95" s="54">
        <v>60</v>
      </c>
      <c r="I95" s="54">
        <v>60</v>
      </c>
      <c r="J95" s="54">
        <v>60</v>
      </c>
      <c r="K95" s="54">
        <v>60</v>
      </c>
      <c r="L95" s="54">
        <v>60</v>
      </c>
      <c r="M95" s="54">
        <v>60</v>
      </c>
      <c r="N95" s="54">
        <v>60</v>
      </c>
    </row>
    <row r="96" spans="1:14" ht="13" x14ac:dyDescent="0.3">
      <c r="B96" s="3" t="s">
        <v>130</v>
      </c>
      <c r="C96" s="54">
        <v>60</v>
      </c>
      <c r="D96" s="54">
        <v>60</v>
      </c>
      <c r="E96" s="54">
        <v>70</v>
      </c>
      <c r="F96" s="54">
        <v>110</v>
      </c>
      <c r="G96" s="54">
        <v>110</v>
      </c>
      <c r="H96" s="54">
        <v>65</v>
      </c>
      <c r="I96" s="54">
        <v>65</v>
      </c>
      <c r="J96" s="54">
        <v>60</v>
      </c>
      <c r="K96" s="54">
        <v>60</v>
      </c>
      <c r="L96" s="54">
        <v>60</v>
      </c>
      <c r="M96" s="54">
        <v>60</v>
      </c>
      <c r="N96" s="54">
        <v>60</v>
      </c>
    </row>
    <row r="98" spans="1:14" ht="13" x14ac:dyDescent="0.3">
      <c r="A98" s="51">
        <v>4</v>
      </c>
      <c r="B98" s="50" t="s">
        <v>137</v>
      </c>
    </row>
    <row r="101" spans="1:14" ht="13" x14ac:dyDescent="0.3">
      <c r="C101" s="52" t="s">
        <v>64</v>
      </c>
      <c r="D101" s="52" t="s">
        <v>65</v>
      </c>
      <c r="E101" s="52" t="s">
        <v>66</v>
      </c>
      <c r="F101" s="52" t="s">
        <v>67</v>
      </c>
      <c r="G101" s="52" t="s">
        <v>68</v>
      </c>
      <c r="H101" s="52" t="s">
        <v>69</v>
      </c>
      <c r="I101" s="52" t="s">
        <v>70</v>
      </c>
      <c r="J101" s="52" t="s">
        <v>71</v>
      </c>
      <c r="K101" s="52" t="s">
        <v>72</v>
      </c>
      <c r="L101" s="52" t="s">
        <v>60</v>
      </c>
      <c r="M101" s="52" t="s">
        <v>61</v>
      </c>
      <c r="N101" s="52" t="s">
        <v>62</v>
      </c>
    </row>
    <row r="103" spans="1:14" ht="13" x14ac:dyDescent="0.3">
      <c r="B103" s="3" t="s">
        <v>125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6"/>
      <c r="M103" s="56"/>
      <c r="N103" s="56"/>
    </row>
    <row r="104" spans="1:14" ht="13" x14ac:dyDescent="0.3">
      <c r="B104" s="3" t="s">
        <v>126</v>
      </c>
      <c r="C104" s="56">
        <v>1</v>
      </c>
      <c r="D104" s="56">
        <v>1</v>
      </c>
      <c r="E104" s="56">
        <v>1</v>
      </c>
      <c r="F104" s="56">
        <v>1</v>
      </c>
      <c r="G104" s="56">
        <v>1</v>
      </c>
      <c r="H104" s="56">
        <v>1</v>
      </c>
      <c r="I104" s="56">
        <v>1</v>
      </c>
      <c r="J104" s="56">
        <v>1</v>
      </c>
      <c r="K104" s="56">
        <v>1</v>
      </c>
      <c r="L104" s="56">
        <v>1</v>
      </c>
      <c r="M104" s="56">
        <v>1</v>
      </c>
      <c r="N104" s="56">
        <v>1</v>
      </c>
    </row>
    <row r="105" spans="1:14" ht="13" x14ac:dyDescent="0.3">
      <c r="B105" s="3" t="s">
        <v>127</v>
      </c>
      <c r="C105" s="56">
        <v>1</v>
      </c>
      <c r="D105" s="56">
        <v>1</v>
      </c>
      <c r="E105" s="56">
        <v>1</v>
      </c>
      <c r="F105" s="56">
        <v>1</v>
      </c>
      <c r="G105" s="56">
        <v>1</v>
      </c>
      <c r="H105" s="56">
        <v>1</v>
      </c>
      <c r="I105" s="56">
        <v>1</v>
      </c>
      <c r="J105" s="56">
        <v>1</v>
      </c>
      <c r="K105" s="56">
        <v>1</v>
      </c>
      <c r="L105" s="56">
        <v>1</v>
      </c>
      <c r="M105" s="56">
        <v>1</v>
      </c>
      <c r="N105" s="56">
        <v>1</v>
      </c>
    </row>
    <row r="106" spans="1:14" ht="13" x14ac:dyDescent="0.3">
      <c r="B106" s="3" t="s">
        <v>128</v>
      </c>
      <c r="C106" s="56">
        <v>1</v>
      </c>
      <c r="D106" s="56">
        <v>1</v>
      </c>
      <c r="E106" s="56">
        <v>1</v>
      </c>
      <c r="F106" s="56">
        <v>1</v>
      </c>
      <c r="G106" s="56">
        <v>1</v>
      </c>
      <c r="H106" s="56">
        <v>1</v>
      </c>
      <c r="I106" s="56">
        <v>1</v>
      </c>
      <c r="J106" s="56">
        <v>1</v>
      </c>
      <c r="K106" s="56">
        <v>1</v>
      </c>
      <c r="L106" s="56">
        <v>1</v>
      </c>
      <c r="M106" s="56">
        <v>1</v>
      </c>
      <c r="N106" s="56">
        <v>1</v>
      </c>
    </row>
    <row r="107" spans="1:14" ht="13" x14ac:dyDescent="0.3">
      <c r="B107" s="3" t="s">
        <v>130</v>
      </c>
      <c r="C107" s="56">
        <v>1</v>
      </c>
      <c r="D107" s="56">
        <v>1</v>
      </c>
      <c r="E107" s="56">
        <v>1</v>
      </c>
      <c r="F107" s="56">
        <v>1</v>
      </c>
      <c r="G107" s="56">
        <v>1</v>
      </c>
      <c r="H107" s="56">
        <v>1</v>
      </c>
      <c r="I107" s="56">
        <v>1</v>
      </c>
      <c r="J107" s="56">
        <v>1</v>
      </c>
      <c r="K107" s="56">
        <v>1</v>
      </c>
      <c r="L107" s="56">
        <v>1</v>
      </c>
      <c r="M107" s="56">
        <v>1</v>
      </c>
      <c r="N107" s="56">
        <v>1</v>
      </c>
    </row>
    <row r="109" spans="1:14" ht="13" x14ac:dyDescent="0.3">
      <c r="A109" s="50" t="s">
        <v>138</v>
      </c>
    </row>
    <row r="111" spans="1:14" ht="13" x14ac:dyDescent="0.3">
      <c r="A111" s="51">
        <v>1</v>
      </c>
      <c r="B111" s="50" t="s">
        <v>124</v>
      </c>
    </row>
    <row r="114" spans="1:14" ht="13" x14ac:dyDescent="0.3">
      <c r="C114" s="52" t="s">
        <v>64</v>
      </c>
      <c r="D114" s="52" t="s">
        <v>65</v>
      </c>
      <c r="E114" s="52" t="s">
        <v>66</v>
      </c>
      <c r="F114" s="52" t="s">
        <v>67</v>
      </c>
      <c r="G114" s="52" t="s">
        <v>68</v>
      </c>
      <c r="H114" s="52" t="s">
        <v>69</v>
      </c>
      <c r="I114" s="52" t="s">
        <v>70</v>
      </c>
      <c r="J114" s="52" t="s">
        <v>71</v>
      </c>
      <c r="K114" s="52" t="s">
        <v>72</v>
      </c>
      <c r="L114" s="52" t="s">
        <v>60</v>
      </c>
      <c r="M114" s="52" t="s">
        <v>61</v>
      </c>
      <c r="N114" s="52" t="s">
        <v>62</v>
      </c>
    </row>
    <row r="116" spans="1:14" ht="13" x14ac:dyDescent="0.3">
      <c r="B116" s="3" t="s">
        <v>125</v>
      </c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</row>
    <row r="117" spans="1:14" ht="13" x14ac:dyDescent="0.3">
      <c r="B117" s="3" t="s">
        <v>126</v>
      </c>
      <c r="C117" s="54">
        <v>80</v>
      </c>
      <c r="D117" s="54">
        <v>80</v>
      </c>
      <c r="E117" s="54">
        <v>80</v>
      </c>
      <c r="F117" s="54">
        <v>80</v>
      </c>
      <c r="G117" s="54">
        <v>80</v>
      </c>
      <c r="H117" s="54">
        <v>80</v>
      </c>
      <c r="I117" s="54">
        <v>80</v>
      </c>
      <c r="J117" s="54">
        <v>80</v>
      </c>
      <c r="K117" s="54">
        <v>80</v>
      </c>
      <c r="L117" s="54">
        <v>80</v>
      </c>
      <c r="M117" s="54">
        <v>80</v>
      </c>
      <c r="N117" s="54">
        <v>80</v>
      </c>
    </row>
    <row r="118" spans="1:14" ht="13" x14ac:dyDescent="0.3">
      <c r="B118" s="3" t="s">
        <v>127</v>
      </c>
      <c r="C118" s="54">
        <v>80</v>
      </c>
      <c r="D118" s="54">
        <v>80</v>
      </c>
      <c r="E118" s="54">
        <v>80</v>
      </c>
      <c r="F118" s="54">
        <v>80</v>
      </c>
      <c r="G118" s="54">
        <v>80</v>
      </c>
      <c r="H118" s="54">
        <v>80</v>
      </c>
      <c r="I118" s="54">
        <v>80</v>
      </c>
      <c r="J118" s="54">
        <v>80</v>
      </c>
      <c r="K118" s="54">
        <v>80</v>
      </c>
      <c r="L118" s="54">
        <v>80</v>
      </c>
      <c r="M118" s="54">
        <v>80</v>
      </c>
      <c r="N118" s="54">
        <v>80</v>
      </c>
    </row>
    <row r="119" spans="1:14" ht="13" x14ac:dyDescent="0.3">
      <c r="B119" s="3" t="s">
        <v>128</v>
      </c>
      <c r="C119" s="54">
        <v>80</v>
      </c>
      <c r="D119" s="54">
        <v>80</v>
      </c>
      <c r="E119" s="54">
        <v>80</v>
      </c>
      <c r="F119" s="54">
        <v>80</v>
      </c>
      <c r="G119" s="54">
        <v>80</v>
      </c>
      <c r="H119" s="54">
        <v>80</v>
      </c>
      <c r="I119" s="54">
        <v>80</v>
      </c>
      <c r="J119" s="54">
        <v>80</v>
      </c>
      <c r="K119" s="54">
        <v>80</v>
      </c>
      <c r="L119" s="54">
        <v>80</v>
      </c>
      <c r="M119" s="54">
        <v>80</v>
      </c>
      <c r="N119" s="54">
        <v>80</v>
      </c>
    </row>
    <row r="120" spans="1:14" ht="13" x14ac:dyDescent="0.3">
      <c r="B120" s="3" t="s">
        <v>130</v>
      </c>
      <c r="C120" s="54">
        <v>80</v>
      </c>
      <c r="D120" s="54">
        <v>80</v>
      </c>
      <c r="E120" s="54">
        <v>80</v>
      </c>
      <c r="F120" s="54">
        <v>80</v>
      </c>
      <c r="G120" s="54">
        <v>80</v>
      </c>
      <c r="H120" s="54">
        <v>80</v>
      </c>
      <c r="I120" s="54">
        <v>80</v>
      </c>
      <c r="J120" s="54">
        <v>80</v>
      </c>
      <c r="K120" s="54">
        <v>80</v>
      </c>
      <c r="L120" s="54">
        <v>80</v>
      </c>
      <c r="M120" s="54">
        <v>80</v>
      </c>
      <c r="N120" s="54">
        <v>80</v>
      </c>
    </row>
    <row r="122" spans="1:14" ht="13" x14ac:dyDescent="0.3">
      <c r="A122" s="51">
        <v>2</v>
      </c>
      <c r="B122" s="50" t="s">
        <v>131</v>
      </c>
    </row>
    <row r="125" spans="1:14" ht="13" x14ac:dyDescent="0.3">
      <c r="C125" s="52" t="s">
        <v>64</v>
      </c>
      <c r="D125" s="52" t="s">
        <v>65</v>
      </c>
      <c r="E125" s="52" t="s">
        <v>66</v>
      </c>
      <c r="F125" s="52" t="s">
        <v>67</v>
      </c>
      <c r="G125" s="52" t="s">
        <v>68</v>
      </c>
      <c r="H125" s="52" t="s">
        <v>69</v>
      </c>
      <c r="I125" s="52" t="s">
        <v>70</v>
      </c>
      <c r="J125" s="52" t="s">
        <v>71</v>
      </c>
      <c r="K125" s="52" t="s">
        <v>72</v>
      </c>
      <c r="L125" s="52" t="s">
        <v>60</v>
      </c>
      <c r="M125" s="52" t="s">
        <v>61</v>
      </c>
      <c r="N125" s="52" t="s">
        <v>62</v>
      </c>
    </row>
    <row r="127" spans="1:14" ht="13" x14ac:dyDescent="0.3">
      <c r="B127" s="3" t="s">
        <v>125</v>
      </c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</row>
    <row r="128" spans="1:14" ht="13" x14ac:dyDescent="0.3">
      <c r="B128" s="3" t="s">
        <v>126</v>
      </c>
      <c r="C128" s="54">
        <v>10</v>
      </c>
      <c r="D128" s="54">
        <v>10</v>
      </c>
      <c r="E128" s="54">
        <v>25</v>
      </c>
      <c r="F128" s="54">
        <v>25</v>
      </c>
      <c r="G128" s="54">
        <v>25</v>
      </c>
      <c r="H128" s="54">
        <v>10</v>
      </c>
      <c r="I128" s="54">
        <v>10</v>
      </c>
      <c r="J128" s="54">
        <v>10</v>
      </c>
      <c r="K128" s="54">
        <v>16</v>
      </c>
      <c r="L128" s="54">
        <v>10</v>
      </c>
      <c r="M128" s="54">
        <v>10</v>
      </c>
      <c r="N128" s="54">
        <v>10</v>
      </c>
    </row>
    <row r="129" spans="1:14" ht="13" x14ac:dyDescent="0.3">
      <c r="B129" s="3" t="s">
        <v>127</v>
      </c>
      <c r="C129" s="54">
        <v>15</v>
      </c>
      <c r="D129" s="54">
        <v>15</v>
      </c>
      <c r="E129" s="54">
        <v>30</v>
      </c>
      <c r="F129" s="54">
        <v>30</v>
      </c>
      <c r="G129" s="54">
        <v>30</v>
      </c>
      <c r="H129" s="54">
        <v>15</v>
      </c>
      <c r="I129" s="54">
        <v>15</v>
      </c>
      <c r="J129" s="54">
        <v>15</v>
      </c>
      <c r="K129" s="54">
        <v>20</v>
      </c>
      <c r="L129" s="54">
        <v>15</v>
      </c>
      <c r="M129" s="54">
        <v>15</v>
      </c>
      <c r="N129" s="54">
        <v>15</v>
      </c>
    </row>
    <row r="130" spans="1:14" ht="13" x14ac:dyDescent="0.3">
      <c r="B130" s="3" t="s">
        <v>128</v>
      </c>
      <c r="C130" s="54">
        <v>20</v>
      </c>
      <c r="D130" s="54">
        <v>20</v>
      </c>
      <c r="E130" s="54">
        <v>30</v>
      </c>
      <c r="F130" s="54">
        <v>30</v>
      </c>
      <c r="G130" s="54">
        <v>30</v>
      </c>
      <c r="H130" s="54">
        <v>15</v>
      </c>
      <c r="I130" s="54">
        <v>15</v>
      </c>
      <c r="J130" s="54">
        <v>15</v>
      </c>
      <c r="K130" s="54">
        <v>20</v>
      </c>
      <c r="L130" s="54">
        <v>15</v>
      </c>
      <c r="M130" s="54">
        <v>15</v>
      </c>
      <c r="N130" s="54">
        <v>15</v>
      </c>
    </row>
    <row r="131" spans="1:14" ht="13" x14ac:dyDescent="0.3">
      <c r="B131" s="3" t="s">
        <v>130</v>
      </c>
      <c r="C131" s="54">
        <v>25</v>
      </c>
      <c r="D131" s="54">
        <v>20</v>
      </c>
      <c r="E131" s="54">
        <v>30</v>
      </c>
      <c r="F131" s="54">
        <v>30</v>
      </c>
      <c r="G131" s="54">
        <v>30</v>
      </c>
      <c r="H131" s="54">
        <v>15</v>
      </c>
      <c r="I131" s="54">
        <v>15</v>
      </c>
      <c r="J131" s="54">
        <v>15</v>
      </c>
      <c r="K131" s="54">
        <v>20</v>
      </c>
      <c r="L131" s="54">
        <v>15</v>
      </c>
      <c r="M131" s="54">
        <v>15</v>
      </c>
      <c r="N131" s="54">
        <v>15</v>
      </c>
    </row>
    <row r="133" spans="1:14" ht="13" x14ac:dyDescent="0.3">
      <c r="A133" s="51">
        <v>3</v>
      </c>
      <c r="B133" s="50" t="s">
        <v>135</v>
      </c>
    </row>
    <row r="136" spans="1:14" ht="13" x14ac:dyDescent="0.3">
      <c r="C136" s="52" t="s">
        <v>64</v>
      </c>
      <c r="D136" s="52" t="s">
        <v>65</v>
      </c>
      <c r="E136" s="52" t="s">
        <v>66</v>
      </c>
      <c r="F136" s="52" t="s">
        <v>67</v>
      </c>
      <c r="G136" s="52" t="s">
        <v>68</v>
      </c>
      <c r="H136" s="52" t="s">
        <v>69</v>
      </c>
      <c r="I136" s="52" t="s">
        <v>70</v>
      </c>
      <c r="J136" s="52" t="s">
        <v>71</v>
      </c>
      <c r="K136" s="52" t="s">
        <v>72</v>
      </c>
      <c r="L136" s="52" t="s">
        <v>60</v>
      </c>
      <c r="M136" s="52" t="s">
        <v>61</v>
      </c>
      <c r="N136" s="52" t="s">
        <v>62</v>
      </c>
    </row>
    <row r="138" spans="1:14" ht="13" x14ac:dyDescent="0.3">
      <c r="B138" s="3" t="s">
        <v>125</v>
      </c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</row>
    <row r="139" spans="1:14" ht="13" x14ac:dyDescent="0.3">
      <c r="B139" s="3" t="s">
        <v>126</v>
      </c>
      <c r="C139" s="54">
        <v>200</v>
      </c>
      <c r="D139" s="54">
        <v>200</v>
      </c>
      <c r="E139" s="54">
        <v>200</v>
      </c>
      <c r="F139" s="54">
        <v>200</v>
      </c>
      <c r="G139" s="54">
        <v>200</v>
      </c>
      <c r="H139" s="54">
        <v>200</v>
      </c>
      <c r="I139" s="54">
        <v>200</v>
      </c>
      <c r="J139" s="54">
        <v>200</v>
      </c>
      <c r="K139" s="54">
        <v>200</v>
      </c>
      <c r="L139" s="54">
        <v>200</v>
      </c>
      <c r="M139" s="54">
        <v>200</v>
      </c>
      <c r="N139" s="54">
        <v>200</v>
      </c>
    </row>
    <row r="140" spans="1:14" ht="13" x14ac:dyDescent="0.3">
      <c r="B140" s="3" t="s">
        <v>127</v>
      </c>
      <c r="C140" s="54">
        <v>200</v>
      </c>
      <c r="D140" s="54">
        <v>200</v>
      </c>
      <c r="E140" s="54">
        <v>200</v>
      </c>
      <c r="F140" s="54">
        <v>200</v>
      </c>
      <c r="G140" s="54">
        <v>200</v>
      </c>
      <c r="H140" s="54">
        <v>200</v>
      </c>
      <c r="I140" s="54">
        <v>200</v>
      </c>
      <c r="J140" s="54">
        <v>200</v>
      </c>
      <c r="K140" s="54">
        <v>200</v>
      </c>
      <c r="L140" s="54">
        <v>200</v>
      </c>
      <c r="M140" s="54">
        <v>200</v>
      </c>
      <c r="N140" s="54">
        <v>200</v>
      </c>
    </row>
    <row r="141" spans="1:14" ht="13" x14ac:dyDescent="0.3">
      <c r="B141" s="3" t="s">
        <v>128</v>
      </c>
      <c r="C141" s="54">
        <v>210</v>
      </c>
      <c r="D141" s="54">
        <v>210</v>
      </c>
      <c r="E141" s="54">
        <v>210</v>
      </c>
      <c r="F141" s="54">
        <v>210</v>
      </c>
      <c r="G141" s="54">
        <v>210</v>
      </c>
      <c r="H141" s="54">
        <v>210</v>
      </c>
      <c r="I141" s="54">
        <v>210</v>
      </c>
      <c r="J141" s="54">
        <v>210</v>
      </c>
      <c r="K141" s="54">
        <v>210</v>
      </c>
      <c r="L141" s="54">
        <v>210</v>
      </c>
      <c r="M141" s="54">
        <v>210</v>
      </c>
      <c r="N141" s="54">
        <v>210</v>
      </c>
    </row>
    <row r="142" spans="1:14" ht="13" x14ac:dyDescent="0.3">
      <c r="B142" s="3" t="s">
        <v>130</v>
      </c>
      <c r="C142" s="54">
        <v>210</v>
      </c>
      <c r="D142" s="54">
        <v>210</v>
      </c>
      <c r="E142" s="54">
        <v>210</v>
      </c>
      <c r="F142" s="54">
        <v>210</v>
      </c>
      <c r="G142" s="54">
        <v>210</v>
      </c>
      <c r="H142" s="54">
        <v>210</v>
      </c>
      <c r="I142" s="54">
        <v>210</v>
      </c>
      <c r="J142" s="54">
        <v>210</v>
      </c>
      <c r="K142" s="54">
        <v>210</v>
      </c>
      <c r="L142" s="54">
        <v>210</v>
      </c>
      <c r="M142" s="54">
        <v>210</v>
      </c>
      <c r="N142" s="54">
        <v>210</v>
      </c>
    </row>
    <row r="144" spans="1:14" ht="13" x14ac:dyDescent="0.3">
      <c r="A144" s="51">
        <v>4</v>
      </c>
      <c r="B144" s="50" t="s">
        <v>136</v>
      </c>
    </row>
    <row r="147" spans="1:14" ht="13" x14ac:dyDescent="0.3">
      <c r="C147" s="52" t="s">
        <v>64</v>
      </c>
      <c r="D147" s="52" t="s">
        <v>65</v>
      </c>
      <c r="E147" s="52" t="s">
        <v>66</v>
      </c>
      <c r="F147" s="52" t="s">
        <v>67</v>
      </c>
      <c r="G147" s="52" t="s">
        <v>68</v>
      </c>
      <c r="H147" s="52" t="s">
        <v>69</v>
      </c>
      <c r="I147" s="52" t="s">
        <v>70</v>
      </c>
      <c r="J147" s="52" t="s">
        <v>71</v>
      </c>
      <c r="K147" s="52" t="s">
        <v>72</v>
      </c>
      <c r="L147" s="52" t="s">
        <v>60</v>
      </c>
      <c r="M147" s="52" t="s">
        <v>61</v>
      </c>
      <c r="N147" s="52" t="s">
        <v>62</v>
      </c>
    </row>
    <row r="149" spans="1:14" ht="13" x14ac:dyDescent="0.3">
      <c r="B149" s="3" t="s">
        <v>125</v>
      </c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</row>
    <row r="150" spans="1:14" ht="13" x14ac:dyDescent="0.3">
      <c r="B150" s="3" t="s">
        <v>126</v>
      </c>
      <c r="C150" s="54">
        <v>50</v>
      </c>
      <c r="D150" s="54">
        <v>50</v>
      </c>
      <c r="E150" s="54">
        <v>60</v>
      </c>
      <c r="F150" s="54">
        <v>100</v>
      </c>
      <c r="G150" s="54">
        <v>100</v>
      </c>
      <c r="H150" s="54">
        <v>50</v>
      </c>
      <c r="I150" s="54">
        <v>50</v>
      </c>
      <c r="J150" s="54">
        <v>50</v>
      </c>
      <c r="K150" s="54">
        <v>50</v>
      </c>
      <c r="L150" s="54">
        <v>50</v>
      </c>
      <c r="M150" s="54">
        <v>50</v>
      </c>
      <c r="N150" s="54">
        <v>50</v>
      </c>
    </row>
    <row r="151" spans="1:14" ht="13" x14ac:dyDescent="0.3">
      <c r="B151" s="3" t="s">
        <v>127</v>
      </c>
      <c r="C151" s="54">
        <v>55</v>
      </c>
      <c r="D151" s="54">
        <v>55</v>
      </c>
      <c r="E151" s="54">
        <v>65</v>
      </c>
      <c r="F151" s="54">
        <v>105</v>
      </c>
      <c r="G151" s="54">
        <v>105</v>
      </c>
      <c r="H151" s="54">
        <v>55</v>
      </c>
      <c r="I151" s="54">
        <v>55</v>
      </c>
      <c r="J151" s="54">
        <v>55</v>
      </c>
      <c r="K151" s="54">
        <v>55</v>
      </c>
      <c r="L151" s="54">
        <v>55</v>
      </c>
      <c r="M151" s="54">
        <v>55</v>
      </c>
      <c r="N151" s="54">
        <v>55</v>
      </c>
    </row>
    <row r="152" spans="1:14" ht="13" x14ac:dyDescent="0.3">
      <c r="B152" s="3" t="s">
        <v>128</v>
      </c>
      <c r="C152" s="54">
        <v>60</v>
      </c>
      <c r="D152" s="54">
        <v>60</v>
      </c>
      <c r="E152" s="54">
        <v>70</v>
      </c>
      <c r="F152" s="54">
        <v>110</v>
      </c>
      <c r="G152" s="54">
        <v>110</v>
      </c>
      <c r="H152" s="54">
        <v>60</v>
      </c>
      <c r="I152" s="54">
        <v>60</v>
      </c>
      <c r="J152" s="54">
        <v>60</v>
      </c>
      <c r="K152" s="54">
        <v>60</v>
      </c>
      <c r="L152" s="54">
        <v>60</v>
      </c>
      <c r="M152" s="54">
        <v>60</v>
      </c>
      <c r="N152" s="54">
        <v>60</v>
      </c>
    </row>
    <row r="153" spans="1:14" ht="13" x14ac:dyDescent="0.3">
      <c r="B153" s="3" t="s">
        <v>130</v>
      </c>
      <c r="C153" s="54">
        <v>60</v>
      </c>
      <c r="D153" s="54">
        <v>60</v>
      </c>
      <c r="E153" s="54">
        <v>70</v>
      </c>
      <c r="F153" s="54">
        <v>110</v>
      </c>
      <c r="G153" s="54">
        <v>110</v>
      </c>
      <c r="H153" s="54">
        <v>65</v>
      </c>
      <c r="I153" s="54">
        <v>65</v>
      </c>
      <c r="J153" s="54">
        <v>60</v>
      </c>
      <c r="K153" s="54">
        <v>60</v>
      </c>
      <c r="L153" s="54">
        <v>60</v>
      </c>
      <c r="M153" s="54">
        <v>60</v>
      </c>
      <c r="N153" s="54">
        <v>60</v>
      </c>
    </row>
    <row r="155" spans="1:14" ht="13" x14ac:dyDescent="0.3">
      <c r="A155" s="51">
        <v>4</v>
      </c>
      <c r="B155" s="50" t="s">
        <v>139</v>
      </c>
    </row>
    <row r="158" spans="1:14" ht="13" x14ac:dyDescent="0.3">
      <c r="C158" s="52" t="s">
        <v>64</v>
      </c>
      <c r="D158" s="52" t="s">
        <v>65</v>
      </c>
      <c r="E158" s="52" t="s">
        <v>66</v>
      </c>
      <c r="F158" s="52" t="s">
        <v>67</v>
      </c>
      <c r="G158" s="52" t="s">
        <v>68</v>
      </c>
      <c r="H158" s="52" t="s">
        <v>69</v>
      </c>
      <c r="I158" s="52" t="s">
        <v>70</v>
      </c>
      <c r="J158" s="52" t="s">
        <v>71</v>
      </c>
      <c r="K158" s="52" t="s">
        <v>72</v>
      </c>
      <c r="L158" s="52" t="s">
        <v>60</v>
      </c>
      <c r="M158" s="52" t="s">
        <v>61</v>
      </c>
      <c r="N158" s="52" t="s">
        <v>62</v>
      </c>
    </row>
    <row r="160" spans="1:14" ht="13" x14ac:dyDescent="0.3">
      <c r="B160" s="3" t="s">
        <v>125</v>
      </c>
      <c r="C160" s="53"/>
      <c r="D160" s="53"/>
      <c r="E160" s="53"/>
      <c r="F160" s="53"/>
      <c r="G160" s="53"/>
      <c r="H160" s="53"/>
      <c r="I160" s="53"/>
      <c r="J160" s="53"/>
      <c r="K160" s="53"/>
      <c r="L160" s="57"/>
      <c r="M160" s="56"/>
      <c r="N160" s="56"/>
    </row>
    <row r="161" spans="1:15" ht="13" x14ac:dyDescent="0.3">
      <c r="B161" s="3" t="s">
        <v>126</v>
      </c>
      <c r="C161" s="58">
        <v>0.85699999999999998</v>
      </c>
      <c r="D161" s="58">
        <v>0.85699999999999998</v>
      </c>
      <c r="E161" s="58">
        <v>0.85699999999999998</v>
      </c>
      <c r="F161" s="58">
        <v>0.85699999999999998</v>
      </c>
      <c r="G161" s="58">
        <v>0.85699999999999998</v>
      </c>
      <c r="H161" s="58">
        <v>0.85699999999999998</v>
      </c>
      <c r="I161" s="58">
        <v>0.85699999999999998</v>
      </c>
      <c r="J161" s="58">
        <v>0.85699999999999998</v>
      </c>
      <c r="K161" s="58">
        <v>0.85699999999999998</v>
      </c>
      <c r="L161" s="58">
        <v>0.85699999999999998</v>
      </c>
      <c r="M161" s="58">
        <v>0.85699999999999998</v>
      </c>
      <c r="N161" s="58">
        <v>0.85699999999999998</v>
      </c>
    </row>
    <row r="162" spans="1:15" ht="13" x14ac:dyDescent="0.3">
      <c r="B162" s="3" t="s">
        <v>127</v>
      </c>
      <c r="C162" s="58">
        <v>0.85699999999999998</v>
      </c>
      <c r="D162" s="58">
        <v>0.85699999999999998</v>
      </c>
      <c r="E162" s="58">
        <v>0.85699999999999998</v>
      </c>
      <c r="F162" s="58">
        <v>0.85699999999999998</v>
      </c>
      <c r="G162" s="58">
        <v>0.85699999999999998</v>
      </c>
      <c r="H162" s="58">
        <v>0.85699999999999998</v>
      </c>
      <c r="I162" s="58">
        <v>0.85699999999999998</v>
      </c>
      <c r="J162" s="58">
        <v>0.85699999999999998</v>
      </c>
      <c r="K162" s="58">
        <v>0.85699999999999998</v>
      </c>
      <c r="L162" s="58">
        <v>0.85699999999999998</v>
      </c>
      <c r="M162" s="58">
        <v>0.85699999999999998</v>
      </c>
      <c r="N162" s="58">
        <v>0.85699999999999998</v>
      </c>
    </row>
    <row r="163" spans="1:15" ht="13" x14ac:dyDescent="0.3">
      <c r="B163" s="3" t="s">
        <v>128</v>
      </c>
      <c r="C163" s="58">
        <v>0.85699999999999998</v>
      </c>
      <c r="D163" s="58">
        <v>0.85699999999999998</v>
      </c>
      <c r="E163" s="58">
        <v>0.85699999999999998</v>
      </c>
      <c r="F163" s="58">
        <v>0.85699999999999998</v>
      </c>
      <c r="G163" s="58">
        <v>0.85699999999999998</v>
      </c>
      <c r="H163" s="58">
        <v>0.85699999999999998</v>
      </c>
      <c r="I163" s="58">
        <v>0.85699999999999998</v>
      </c>
      <c r="J163" s="58">
        <v>0.85699999999999998</v>
      </c>
      <c r="K163" s="58">
        <v>0.85699999999999998</v>
      </c>
      <c r="L163" s="58">
        <v>0.85699999999999998</v>
      </c>
      <c r="M163" s="58">
        <v>0.85699999999999998</v>
      </c>
      <c r="N163" s="58">
        <v>0.85699999999999998</v>
      </c>
    </row>
    <row r="164" spans="1:15" ht="13" x14ac:dyDescent="0.3">
      <c r="B164" s="3" t="s">
        <v>130</v>
      </c>
      <c r="C164" s="58">
        <v>0.85699999999999998</v>
      </c>
      <c r="D164" s="58">
        <v>0.85699999999999998</v>
      </c>
      <c r="E164" s="58">
        <v>0.85699999999999998</v>
      </c>
      <c r="F164" s="58">
        <v>0.85699999999999998</v>
      </c>
      <c r="G164" s="58">
        <v>0.85699999999999998</v>
      </c>
      <c r="H164" s="58">
        <v>0.85699999999999998</v>
      </c>
      <c r="I164" s="58">
        <v>0.85699999999999998</v>
      </c>
      <c r="J164" s="58">
        <v>0.85699999999999998</v>
      </c>
      <c r="K164" s="58">
        <v>0.85699999999999998</v>
      </c>
      <c r="L164" s="58">
        <v>0.85699999999999998</v>
      </c>
      <c r="M164" s="58">
        <v>0.85699999999999998</v>
      </c>
      <c r="N164" s="58">
        <v>0.85699999999999998</v>
      </c>
    </row>
    <row r="167" spans="1:15" ht="13" x14ac:dyDescent="0.3">
      <c r="A167" s="50" t="s">
        <v>140</v>
      </c>
    </row>
    <row r="169" spans="1:15" ht="13" x14ac:dyDescent="0.3">
      <c r="B169" s="3" t="s">
        <v>141</v>
      </c>
    </row>
    <row r="171" spans="1:15" ht="13" x14ac:dyDescent="0.3">
      <c r="C171" s="52" t="s">
        <v>64</v>
      </c>
      <c r="D171" s="52" t="s">
        <v>65</v>
      </c>
      <c r="E171" s="52" t="s">
        <v>66</v>
      </c>
      <c r="F171" s="52" t="s">
        <v>67</v>
      </c>
      <c r="G171" s="52" t="s">
        <v>68</v>
      </c>
      <c r="H171" s="52" t="s">
        <v>69</v>
      </c>
      <c r="I171" s="52" t="s">
        <v>70</v>
      </c>
      <c r="J171" s="52" t="s">
        <v>71</v>
      </c>
      <c r="K171" s="52" t="s">
        <v>72</v>
      </c>
      <c r="L171" s="52" t="s">
        <v>60</v>
      </c>
      <c r="M171" s="52" t="s">
        <v>61</v>
      </c>
      <c r="N171" s="52" t="s">
        <v>62</v>
      </c>
      <c r="O171" s="52" t="s">
        <v>3</v>
      </c>
    </row>
    <row r="173" spans="1:15" ht="13" x14ac:dyDescent="0.3">
      <c r="B173" s="3" t="s">
        <v>125</v>
      </c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12">
        <f>SUM(L173:N173)</f>
        <v>0</v>
      </c>
    </row>
    <row r="174" spans="1:15" ht="13" x14ac:dyDescent="0.3">
      <c r="B174" s="3" t="s">
        <v>126</v>
      </c>
      <c r="C174" s="59">
        <v>30</v>
      </c>
      <c r="D174" s="59">
        <v>31</v>
      </c>
      <c r="E174" s="59">
        <v>30</v>
      </c>
      <c r="F174" s="59">
        <v>31</v>
      </c>
      <c r="G174" s="59">
        <v>31</v>
      </c>
      <c r="H174" s="59">
        <v>30</v>
      </c>
      <c r="I174" s="59">
        <v>31</v>
      </c>
      <c r="J174" s="59">
        <v>30</v>
      </c>
      <c r="K174" s="59">
        <v>31</v>
      </c>
      <c r="L174" s="59">
        <v>31</v>
      </c>
      <c r="M174" s="59">
        <v>28</v>
      </c>
      <c r="N174" s="59">
        <v>31</v>
      </c>
      <c r="O174" s="12">
        <f>SUM(C174:N174)</f>
        <v>365</v>
      </c>
    </row>
    <row r="175" spans="1:15" ht="13" x14ac:dyDescent="0.3">
      <c r="B175" s="3" t="s">
        <v>127</v>
      </c>
      <c r="C175" s="59">
        <v>30</v>
      </c>
      <c r="D175" s="59">
        <v>31</v>
      </c>
      <c r="E175" s="59">
        <v>30</v>
      </c>
      <c r="F175" s="59">
        <v>31</v>
      </c>
      <c r="G175" s="59">
        <v>31</v>
      </c>
      <c r="H175" s="59">
        <v>30</v>
      </c>
      <c r="I175" s="59">
        <v>31</v>
      </c>
      <c r="J175" s="59">
        <v>30</v>
      </c>
      <c r="K175" s="59">
        <v>31</v>
      </c>
      <c r="L175" s="59">
        <v>31</v>
      </c>
      <c r="M175" s="59">
        <v>29</v>
      </c>
      <c r="N175" s="59">
        <v>31</v>
      </c>
      <c r="O175" s="12">
        <f>SUM(C175:N175)</f>
        <v>366</v>
      </c>
    </row>
    <row r="176" spans="1:15" ht="13" x14ac:dyDescent="0.3">
      <c r="B176" s="3" t="s">
        <v>128</v>
      </c>
      <c r="C176" s="59">
        <v>30</v>
      </c>
      <c r="D176" s="59">
        <v>31</v>
      </c>
      <c r="E176" s="59">
        <v>30</v>
      </c>
      <c r="F176" s="59">
        <v>31</v>
      </c>
      <c r="G176" s="59">
        <v>31</v>
      </c>
      <c r="H176" s="59">
        <v>30</v>
      </c>
      <c r="I176" s="59">
        <v>31</v>
      </c>
      <c r="J176" s="59">
        <v>30</v>
      </c>
      <c r="K176" s="59">
        <v>31</v>
      </c>
      <c r="L176" s="59">
        <v>31</v>
      </c>
      <c r="M176" s="59">
        <v>28</v>
      </c>
      <c r="N176" s="59">
        <v>31</v>
      </c>
      <c r="O176" s="12">
        <f>SUM(C176:N176)</f>
        <v>365</v>
      </c>
    </row>
    <row r="177" spans="2:15" ht="13" x14ac:dyDescent="0.3">
      <c r="B177" s="3" t="s">
        <v>130</v>
      </c>
      <c r="C177" s="59">
        <v>30</v>
      </c>
      <c r="D177" s="59">
        <v>31</v>
      </c>
      <c r="E177" s="59">
        <v>30</v>
      </c>
      <c r="F177" s="59">
        <v>31</v>
      </c>
      <c r="G177" s="59">
        <v>31</v>
      </c>
      <c r="H177" s="59">
        <v>30</v>
      </c>
      <c r="I177" s="59">
        <v>31</v>
      </c>
      <c r="J177" s="59">
        <v>30</v>
      </c>
      <c r="K177" s="59">
        <v>31</v>
      </c>
      <c r="L177" s="59">
        <v>31</v>
      </c>
      <c r="M177" s="59">
        <v>28</v>
      </c>
      <c r="N177" s="59">
        <v>31</v>
      </c>
      <c r="O177" s="12">
        <f>SUM(C177:N177)</f>
        <v>365</v>
      </c>
    </row>
    <row r="179" spans="2:15" ht="13" x14ac:dyDescent="0.3">
      <c r="B179" s="3" t="s">
        <v>142</v>
      </c>
    </row>
    <row r="181" spans="2:15" ht="13" x14ac:dyDescent="0.3">
      <c r="C181" s="52" t="s">
        <v>64</v>
      </c>
      <c r="D181" s="52" t="s">
        <v>65</v>
      </c>
      <c r="E181" s="52" t="s">
        <v>66</v>
      </c>
      <c r="F181" s="52" t="s">
        <v>67</v>
      </c>
      <c r="G181" s="52" t="s">
        <v>68</v>
      </c>
      <c r="H181" s="52" t="s">
        <v>69</v>
      </c>
      <c r="I181" s="52" t="s">
        <v>70</v>
      </c>
      <c r="J181" s="52" t="s">
        <v>71</v>
      </c>
      <c r="K181" s="52" t="s">
        <v>72</v>
      </c>
      <c r="L181" s="52" t="s">
        <v>60</v>
      </c>
      <c r="M181" s="52" t="s">
        <v>61</v>
      </c>
      <c r="N181" s="52" t="s">
        <v>62</v>
      </c>
      <c r="O181" s="52" t="s">
        <v>3</v>
      </c>
    </row>
    <row r="183" spans="2:15" ht="13" x14ac:dyDescent="0.3">
      <c r="B183" s="3" t="s">
        <v>125</v>
      </c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12">
        <f>SUM(L183:N183)</f>
        <v>0</v>
      </c>
    </row>
    <row r="184" spans="2:15" ht="13" x14ac:dyDescent="0.3">
      <c r="B184" s="3" t="s">
        <v>126</v>
      </c>
      <c r="C184" s="59">
        <v>1</v>
      </c>
      <c r="D184" s="59">
        <v>0</v>
      </c>
      <c r="E184" s="59">
        <v>0</v>
      </c>
      <c r="F184" s="59">
        <v>0</v>
      </c>
      <c r="G184" s="59">
        <v>0</v>
      </c>
      <c r="H184" s="59">
        <v>0</v>
      </c>
      <c r="I184" s="59">
        <v>0</v>
      </c>
      <c r="J184" s="59">
        <v>1</v>
      </c>
      <c r="K184" s="59">
        <v>0</v>
      </c>
      <c r="L184" s="59">
        <v>12</v>
      </c>
      <c r="M184" s="59">
        <v>1</v>
      </c>
      <c r="N184" s="59">
        <v>0</v>
      </c>
      <c r="O184" s="12">
        <f>SUM(C184:N184)</f>
        <v>15</v>
      </c>
    </row>
    <row r="185" spans="2:15" ht="13" x14ac:dyDescent="0.3">
      <c r="B185" s="3" t="s">
        <v>127</v>
      </c>
      <c r="C185" s="59">
        <v>1</v>
      </c>
      <c r="D185" s="59">
        <v>0</v>
      </c>
      <c r="E185" s="59">
        <v>0</v>
      </c>
      <c r="F185" s="59">
        <v>0</v>
      </c>
      <c r="G185" s="59">
        <v>0</v>
      </c>
      <c r="H185" s="59">
        <v>0</v>
      </c>
      <c r="I185" s="59">
        <v>0</v>
      </c>
      <c r="J185" s="59">
        <v>1</v>
      </c>
      <c r="K185" s="59">
        <v>0</v>
      </c>
      <c r="L185" s="59">
        <v>13</v>
      </c>
      <c r="M185" s="59">
        <v>1</v>
      </c>
      <c r="N185" s="59">
        <v>0</v>
      </c>
      <c r="O185" s="12">
        <f>SUM(C185:N185)</f>
        <v>16</v>
      </c>
    </row>
    <row r="186" spans="2:15" ht="13" x14ac:dyDescent="0.3">
      <c r="B186" s="3" t="s">
        <v>128</v>
      </c>
      <c r="C186" s="59">
        <v>1</v>
      </c>
      <c r="D186" s="59">
        <v>0</v>
      </c>
      <c r="E186" s="59">
        <v>0</v>
      </c>
      <c r="F186" s="59">
        <v>0</v>
      </c>
      <c r="G186" s="59">
        <v>0</v>
      </c>
      <c r="H186" s="59">
        <v>0</v>
      </c>
      <c r="I186" s="59">
        <v>0</v>
      </c>
      <c r="J186" s="59">
        <v>1</v>
      </c>
      <c r="K186" s="59">
        <v>0</v>
      </c>
      <c r="L186" s="59">
        <v>12</v>
      </c>
      <c r="M186" s="59">
        <v>1</v>
      </c>
      <c r="N186" s="59">
        <v>0</v>
      </c>
      <c r="O186" s="12">
        <f>SUM(C186:N186)</f>
        <v>15</v>
      </c>
    </row>
    <row r="187" spans="2:15" ht="13" x14ac:dyDescent="0.3">
      <c r="B187" s="3" t="s">
        <v>130</v>
      </c>
      <c r="C187" s="59">
        <v>1</v>
      </c>
      <c r="D187" s="59">
        <v>0</v>
      </c>
      <c r="E187" s="59">
        <v>0</v>
      </c>
      <c r="F187" s="59">
        <v>0</v>
      </c>
      <c r="G187" s="59">
        <v>0</v>
      </c>
      <c r="H187" s="59">
        <v>0</v>
      </c>
      <c r="I187" s="59">
        <v>0</v>
      </c>
      <c r="J187" s="59">
        <v>1</v>
      </c>
      <c r="K187" s="59">
        <v>0</v>
      </c>
      <c r="L187" s="59">
        <v>12</v>
      </c>
      <c r="M187" s="59">
        <v>1</v>
      </c>
      <c r="N187" s="59">
        <v>0</v>
      </c>
      <c r="O187" s="12">
        <f>SUM(C187:N187)</f>
        <v>15</v>
      </c>
    </row>
    <row r="189" spans="2:15" ht="13" x14ac:dyDescent="0.3">
      <c r="B189" s="3" t="s">
        <v>143</v>
      </c>
    </row>
    <row r="191" spans="2:15" ht="13" x14ac:dyDescent="0.3">
      <c r="C191" s="52" t="s">
        <v>64</v>
      </c>
      <c r="D191" s="52" t="s">
        <v>65</v>
      </c>
      <c r="E191" s="52" t="s">
        <v>66</v>
      </c>
      <c r="F191" s="52" t="s">
        <v>67</v>
      </c>
      <c r="G191" s="52" t="s">
        <v>68</v>
      </c>
      <c r="H191" s="52" t="s">
        <v>69</v>
      </c>
      <c r="I191" s="52" t="s">
        <v>70</v>
      </c>
      <c r="J191" s="52" t="s">
        <v>71</v>
      </c>
      <c r="K191" s="52" t="s">
        <v>72</v>
      </c>
      <c r="L191" s="52" t="s">
        <v>60</v>
      </c>
      <c r="M191" s="52" t="s">
        <v>61</v>
      </c>
      <c r="N191" s="52" t="s">
        <v>62</v>
      </c>
      <c r="O191" s="52" t="s">
        <v>3</v>
      </c>
    </row>
    <row r="193" spans="1:15" ht="13" x14ac:dyDescent="0.3">
      <c r="B193" s="3" t="s">
        <v>125</v>
      </c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12">
        <f>SUM(L193:N193)</f>
        <v>0</v>
      </c>
    </row>
    <row r="194" spans="1:15" ht="13" x14ac:dyDescent="0.3">
      <c r="B194" s="3" t="s">
        <v>126</v>
      </c>
      <c r="C194" s="59">
        <f t="shared" ref="C194:N194" si="0">C174-C184</f>
        <v>29</v>
      </c>
      <c r="D194" s="59">
        <f t="shared" si="0"/>
        <v>31</v>
      </c>
      <c r="E194" s="59">
        <f t="shared" si="0"/>
        <v>30</v>
      </c>
      <c r="F194" s="59">
        <f t="shared" si="0"/>
        <v>31</v>
      </c>
      <c r="G194" s="59">
        <f t="shared" si="0"/>
        <v>31</v>
      </c>
      <c r="H194" s="59">
        <f t="shared" si="0"/>
        <v>30</v>
      </c>
      <c r="I194" s="59">
        <f t="shared" si="0"/>
        <v>31</v>
      </c>
      <c r="J194" s="59">
        <f t="shared" si="0"/>
        <v>29</v>
      </c>
      <c r="K194" s="59">
        <f t="shared" si="0"/>
        <v>31</v>
      </c>
      <c r="L194" s="59">
        <f t="shared" si="0"/>
        <v>19</v>
      </c>
      <c r="M194" s="59">
        <f t="shared" si="0"/>
        <v>27</v>
      </c>
      <c r="N194" s="59">
        <f t="shared" si="0"/>
        <v>31</v>
      </c>
      <c r="O194" s="12">
        <f>SUM(C194:N194)</f>
        <v>350</v>
      </c>
    </row>
    <row r="195" spans="1:15" ht="13" x14ac:dyDescent="0.3">
      <c r="B195" s="3" t="s">
        <v>127</v>
      </c>
      <c r="C195" s="59">
        <f t="shared" ref="C195:N195" si="1">C175-C185</f>
        <v>29</v>
      </c>
      <c r="D195" s="59">
        <f t="shared" si="1"/>
        <v>31</v>
      </c>
      <c r="E195" s="59">
        <f t="shared" si="1"/>
        <v>30</v>
      </c>
      <c r="F195" s="59">
        <f t="shared" si="1"/>
        <v>31</v>
      </c>
      <c r="G195" s="59">
        <f t="shared" si="1"/>
        <v>31</v>
      </c>
      <c r="H195" s="59">
        <f t="shared" si="1"/>
        <v>30</v>
      </c>
      <c r="I195" s="59">
        <f t="shared" si="1"/>
        <v>31</v>
      </c>
      <c r="J195" s="59">
        <f t="shared" si="1"/>
        <v>29</v>
      </c>
      <c r="K195" s="59">
        <f t="shared" si="1"/>
        <v>31</v>
      </c>
      <c r="L195" s="59">
        <f t="shared" si="1"/>
        <v>18</v>
      </c>
      <c r="M195" s="59">
        <f t="shared" si="1"/>
        <v>28</v>
      </c>
      <c r="N195" s="59">
        <f t="shared" si="1"/>
        <v>31</v>
      </c>
      <c r="O195" s="12">
        <f>SUM(C195:N195)</f>
        <v>350</v>
      </c>
    </row>
    <row r="196" spans="1:15" ht="13" x14ac:dyDescent="0.3">
      <c r="B196" s="3" t="s">
        <v>128</v>
      </c>
      <c r="C196" s="59">
        <f t="shared" ref="C196:N196" si="2">C176-C186</f>
        <v>29</v>
      </c>
      <c r="D196" s="59">
        <f t="shared" si="2"/>
        <v>31</v>
      </c>
      <c r="E196" s="59">
        <f t="shared" si="2"/>
        <v>30</v>
      </c>
      <c r="F196" s="59">
        <f t="shared" si="2"/>
        <v>31</v>
      </c>
      <c r="G196" s="59">
        <f t="shared" si="2"/>
        <v>31</v>
      </c>
      <c r="H196" s="59">
        <f t="shared" si="2"/>
        <v>30</v>
      </c>
      <c r="I196" s="59">
        <f t="shared" si="2"/>
        <v>31</v>
      </c>
      <c r="J196" s="59">
        <f t="shared" si="2"/>
        <v>29</v>
      </c>
      <c r="K196" s="59">
        <f t="shared" si="2"/>
        <v>31</v>
      </c>
      <c r="L196" s="59">
        <f t="shared" si="2"/>
        <v>19</v>
      </c>
      <c r="M196" s="59">
        <f t="shared" si="2"/>
        <v>27</v>
      </c>
      <c r="N196" s="59">
        <f t="shared" si="2"/>
        <v>31</v>
      </c>
      <c r="O196" s="12">
        <f>SUM(C196:N196)</f>
        <v>350</v>
      </c>
    </row>
    <row r="197" spans="1:15" ht="13" x14ac:dyDescent="0.3">
      <c r="B197" s="3" t="s">
        <v>130</v>
      </c>
      <c r="C197" s="59">
        <f t="shared" ref="C197:N197" si="3">C177-C187</f>
        <v>29</v>
      </c>
      <c r="D197" s="59">
        <f t="shared" si="3"/>
        <v>31</v>
      </c>
      <c r="E197" s="59">
        <f t="shared" si="3"/>
        <v>30</v>
      </c>
      <c r="F197" s="59">
        <f t="shared" si="3"/>
        <v>31</v>
      </c>
      <c r="G197" s="59">
        <f t="shared" si="3"/>
        <v>31</v>
      </c>
      <c r="H197" s="59">
        <f t="shared" si="3"/>
        <v>30</v>
      </c>
      <c r="I197" s="59">
        <f t="shared" si="3"/>
        <v>31</v>
      </c>
      <c r="J197" s="59">
        <f t="shared" si="3"/>
        <v>29</v>
      </c>
      <c r="K197" s="59">
        <f t="shared" si="3"/>
        <v>31</v>
      </c>
      <c r="L197" s="59">
        <f t="shared" si="3"/>
        <v>19</v>
      </c>
      <c r="M197" s="59">
        <f t="shared" si="3"/>
        <v>27</v>
      </c>
      <c r="N197" s="59">
        <f t="shared" si="3"/>
        <v>31</v>
      </c>
      <c r="O197" s="12">
        <f>SUM(C197:N197)</f>
        <v>350</v>
      </c>
    </row>
    <row r="199" spans="1:15" ht="13" x14ac:dyDescent="0.3">
      <c r="A199" s="50" t="s">
        <v>144</v>
      </c>
    </row>
    <row r="201" spans="1:15" ht="13" x14ac:dyDescent="0.3">
      <c r="C201" s="52" t="s">
        <v>64</v>
      </c>
      <c r="D201" s="52" t="s">
        <v>65</v>
      </c>
      <c r="E201" s="52" t="s">
        <v>66</v>
      </c>
      <c r="F201" s="52" t="s">
        <v>67</v>
      </c>
      <c r="G201" s="52" t="s">
        <v>68</v>
      </c>
      <c r="H201" s="52" t="s">
        <v>69</v>
      </c>
      <c r="I201" s="52" t="s">
        <v>70</v>
      </c>
      <c r="J201" s="52" t="s">
        <v>71</v>
      </c>
      <c r="K201" s="52" t="s">
        <v>72</v>
      </c>
      <c r="L201" s="52" t="s">
        <v>60</v>
      </c>
      <c r="M201" s="52" t="s">
        <v>61</v>
      </c>
      <c r="N201" s="52" t="s">
        <v>62</v>
      </c>
    </row>
    <row r="203" spans="1:15" ht="13" x14ac:dyDescent="0.3">
      <c r="B203" s="3" t="s">
        <v>125</v>
      </c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</row>
    <row r="204" spans="1:15" ht="13" x14ac:dyDescent="0.3">
      <c r="B204" s="3" t="s">
        <v>126</v>
      </c>
      <c r="C204" s="59">
        <v>5</v>
      </c>
      <c r="D204" s="59">
        <v>5</v>
      </c>
      <c r="E204" s="59">
        <v>5</v>
      </c>
      <c r="F204" s="59">
        <v>5</v>
      </c>
      <c r="G204" s="59">
        <v>5</v>
      </c>
      <c r="H204" s="59">
        <v>5</v>
      </c>
      <c r="I204" s="59">
        <v>5</v>
      </c>
      <c r="J204" s="59">
        <v>5</v>
      </c>
      <c r="K204" s="59">
        <v>5</v>
      </c>
      <c r="L204" s="59">
        <v>5</v>
      </c>
      <c r="M204" s="59">
        <v>5</v>
      </c>
      <c r="N204" s="59">
        <v>5</v>
      </c>
    </row>
    <row r="205" spans="1:15" ht="13" x14ac:dyDescent="0.3">
      <c r="B205" s="3" t="s">
        <v>127</v>
      </c>
      <c r="C205" s="59">
        <v>5</v>
      </c>
      <c r="D205" s="59">
        <v>5</v>
      </c>
      <c r="E205" s="59">
        <v>5</v>
      </c>
      <c r="F205" s="59">
        <v>5</v>
      </c>
      <c r="G205" s="59">
        <v>5</v>
      </c>
      <c r="H205" s="59">
        <v>5</v>
      </c>
      <c r="I205" s="59">
        <v>5</v>
      </c>
      <c r="J205" s="59">
        <v>5</v>
      </c>
      <c r="K205" s="59">
        <v>5</v>
      </c>
      <c r="L205" s="59">
        <v>5</v>
      </c>
      <c r="M205" s="59">
        <v>5</v>
      </c>
      <c r="N205" s="59">
        <v>5</v>
      </c>
    </row>
    <row r="206" spans="1:15" ht="13" x14ac:dyDescent="0.3">
      <c r="B206" s="3" t="s">
        <v>128</v>
      </c>
      <c r="C206" s="59">
        <v>5</v>
      </c>
      <c r="D206" s="59">
        <v>5</v>
      </c>
      <c r="E206" s="59">
        <v>5</v>
      </c>
      <c r="F206" s="59">
        <v>5</v>
      </c>
      <c r="G206" s="59">
        <v>5</v>
      </c>
      <c r="H206" s="59">
        <v>5</v>
      </c>
      <c r="I206" s="59">
        <v>5</v>
      </c>
      <c r="J206" s="59">
        <v>5</v>
      </c>
      <c r="K206" s="59">
        <v>5</v>
      </c>
      <c r="L206" s="59">
        <v>5</v>
      </c>
      <c r="M206" s="59">
        <v>5</v>
      </c>
      <c r="N206" s="59">
        <v>5</v>
      </c>
    </row>
    <row r="207" spans="1:15" ht="13" x14ac:dyDescent="0.3">
      <c r="B207" s="3" t="s">
        <v>130</v>
      </c>
      <c r="C207" s="59">
        <v>5</v>
      </c>
      <c r="D207" s="59">
        <v>5</v>
      </c>
      <c r="E207" s="59">
        <v>5</v>
      </c>
      <c r="F207" s="59">
        <v>5</v>
      </c>
      <c r="G207" s="59">
        <v>5</v>
      </c>
      <c r="H207" s="59">
        <v>5</v>
      </c>
      <c r="I207" s="59">
        <v>5</v>
      </c>
      <c r="J207" s="59">
        <v>5</v>
      </c>
      <c r="K207" s="59">
        <v>5</v>
      </c>
      <c r="L207" s="59">
        <v>5</v>
      </c>
      <c r="M207" s="59">
        <v>5</v>
      </c>
      <c r="N207" s="59">
        <v>5</v>
      </c>
    </row>
    <row r="209" spans="1:15" ht="13" x14ac:dyDescent="0.3">
      <c r="A209" s="50" t="s">
        <v>145</v>
      </c>
    </row>
    <row r="210" spans="1:15" ht="13" x14ac:dyDescent="0.3">
      <c r="A210" s="50" t="s">
        <v>146</v>
      </c>
    </row>
    <row r="212" spans="1:15" ht="13" x14ac:dyDescent="0.3">
      <c r="C212" s="52" t="s">
        <v>64</v>
      </c>
      <c r="D212" s="52" t="s">
        <v>65</v>
      </c>
      <c r="E212" s="52" t="s">
        <v>66</v>
      </c>
      <c r="F212" s="52" t="s">
        <v>67</v>
      </c>
      <c r="G212" s="52" t="s">
        <v>68</v>
      </c>
      <c r="H212" s="52" t="s">
        <v>69</v>
      </c>
      <c r="I212" s="52" t="s">
        <v>70</v>
      </c>
      <c r="J212" s="52" t="s">
        <v>71</v>
      </c>
      <c r="K212" s="52" t="s">
        <v>72</v>
      </c>
      <c r="L212" s="52" t="s">
        <v>60</v>
      </c>
      <c r="M212" s="52" t="s">
        <v>61</v>
      </c>
      <c r="N212" s="52" t="s">
        <v>62</v>
      </c>
    </row>
    <row r="214" spans="1:15" ht="13" x14ac:dyDescent="0.3">
      <c r="B214" s="3" t="s">
        <v>125</v>
      </c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</row>
    <row r="215" spans="1:15" ht="13" x14ac:dyDescent="0.3">
      <c r="B215" s="3" t="s">
        <v>126</v>
      </c>
      <c r="C215" s="59">
        <f t="shared" ref="C215:N215" si="4">(C13*1.2)+(C24*2.2)</f>
        <v>118</v>
      </c>
      <c r="D215" s="59">
        <f t="shared" si="4"/>
        <v>118</v>
      </c>
      <c r="E215" s="59">
        <f t="shared" si="4"/>
        <v>151</v>
      </c>
      <c r="F215" s="59">
        <f t="shared" si="4"/>
        <v>151</v>
      </c>
      <c r="G215" s="59">
        <f t="shared" si="4"/>
        <v>151</v>
      </c>
      <c r="H215" s="59">
        <f t="shared" si="4"/>
        <v>118</v>
      </c>
      <c r="I215" s="59">
        <f t="shared" si="4"/>
        <v>118</v>
      </c>
      <c r="J215" s="59">
        <f t="shared" si="4"/>
        <v>118</v>
      </c>
      <c r="K215" s="59">
        <f t="shared" si="4"/>
        <v>131.19999999999999</v>
      </c>
      <c r="L215" s="59">
        <f t="shared" si="4"/>
        <v>118</v>
      </c>
      <c r="M215" s="59">
        <f t="shared" si="4"/>
        <v>118</v>
      </c>
      <c r="N215" s="59">
        <f t="shared" si="4"/>
        <v>118</v>
      </c>
    </row>
    <row r="216" spans="1:15" ht="13" x14ac:dyDescent="0.3">
      <c r="B216" s="3" t="s">
        <v>127</v>
      </c>
      <c r="C216" s="59">
        <f t="shared" ref="C216:N216" si="5">(C14*1.2)+(C25*2.2)</f>
        <v>135</v>
      </c>
      <c r="D216" s="59">
        <f t="shared" si="5"/>
        <v>135</v>
      </c>
      <c r="E216" s="59">
        <f t="shared" si="5"/>
        <v>168</v>
      </c>
      <c r="F216" s="59">
        <f t="shared" si="5"/>
        <v>168</v>
      </c>
      <c r="G216" s="59">
        <f t="shared" si="5"/>
        <v>168</v>
      </c>
      <c r="H216" s="59">
        <f t="shared" si="5"/>
        <v>135</v>
      </c>
      <c r="I216" s="59">
        <f t="shared" si="5"/>
        <v>135</v>
      </c>
      <c r="J216" s="59">
        <f t="shared" si="5"/>
        <v>135</v>
      </c>
      <c r="K216" s="59">
        <f t="shared" si="5"/>
        <v>146</v>
      </c>
      <c r="L216" s="59">
        <f t="shared" si="5"/>
        <v>135</v>
      </c>
      <c r="M216" s="59">
        <f t="shared" si="5"/>
        <v>135</v>
      </c>
      <c r="N216" s="59">
        <f t="shared" si="5"/>
        <v>135</v>
      </c>
    </row>
    <row r="217" spans="1:15" ht="13" x14ac:dyDescent="0.3">
      <c r="B217" s="3" t="s">
        <v>128</v>
      </c>
      <c r="C217" s="59">
        <f t="shared" ref="C217:N217" si="6">(C15*1.2)+(C26*2.2)</f>
        <v>152</v>
      </c>
      <c r="D217" s="59">
        <f t="shared" si="6"/>
        <v>152</v>
      </c>
      <c r="E217" s="59">
        <f t="shared" si="6"/>
        <v>174</v>
      </c>
      <c r="F217" s="59">
        <f t="shared" si="6"/>
        <v>174</v>
      </c>
      <c r="G217" s="59">
        <f t="shared" si="6"/>
        <v>174</v>
      </c>
      <c r="H217" s="59">
        <f t="shared" si="6"/>
        <v>141</v>
      </c>
      <c r="I217" s="59">
        <f t="shared" si="6"/>
        <v>141</v>
      </c>
      <c r="J217" s="59">
        <f t="shared" si="6"/>
        <v>141</v>
      </c>
      <c r="K217" s="59">
        <f t="shared" si="6"/>
        <v>152</v>
      </c>
      <c r="L217" s="59">
        <f t="shared" si="6"/>
        <v>141</v>
      </c>
      <c r="M217" s="59">
        <f t="shared" si="6"/>
        <v>141</v>
      </c>
      <c r="N217" s="59">
        <f t="shared" si="6"/>
        <v>141</v>
      </c>
    </row>
    <row r="218" spans="1:15" ht="13" x14ac:dyDescent="0.3">
      <c r="B218" s="3" t="s">
        <v>130</v>
      </c>
      <c r="C218" s="59">
        <f t="shared" ref="C218:N218" si="7">(C16*1.2)+(C27*2.2)</f>
        <v>169</v>
      </c>
      <c r="D218" s="59">
        <f t="shared" si="7"/>
        <v>158</v>
      </c>
      <c r="E218" s="59">
        <f t="shared" si="7"/>
        <v>180</v>
      </c>
      <c r="F218" s="59">
        <f t="shared" si="7"/>
        <v>180</v>
      </c>
      <c r="G218" s="59">
        <f t="shared" si="7"/>
        <v>180</v>
      </c>
      <c r="H218" s="59">
        <f t="shared" si="7"/>
        <v>147</v>
      </c>
      <c r="I218" s="59">
        <f t="shared" si="7"/>
        <v>147</v>
      </c>
      <c r="J218" s="59">
        <f t="shared" si="7"/>
        <v>147</v>
      </c>
      <c r="K218" s="59">
        <f t="shared" si="7"/>
        <v>158</v>
      </c>
      <c r="L218" s="59">
        <f t="shared" si="7"/>
        <v>147</v>
      </c>
      <c r="M218" s="59">
        <f t="shared" si="7"/>
        <v>147</v>
      </c>
      <c r="N218" s="59">
        <f t="shared" si="7"/>
        <v>147</v>
      </c>
    </row>
    <row r="219" spans="1:15" ht="13" x14ac:dyDescent="0.3">
      <c r="B219" s="3" t="s">
        <v>147</v>
      </c>
      <c r="C219" s="59">
        <f>C218*30</f>
        <v>5070</v>
      </c>
      <c r="D219" s="59">
        <f>D218*31</f>
        <v>4898</v>
      </c>
      <c r="E219" s="59">
        <f>E218*30</f>
        <v>5400</v>
      </c>
      <c r="F219" s="59">
        <f>F218*31</f>
        <v>5580</v>
      </c>
      <c r="G219" s="59">
        <f>G218*31</f>
        <v>5580</v>
      </c>
      <c r="H219" s="59">
        <f>H218*30</f>
        <v>4410</v>
      </c>
      <c r="I219" s="59">
        <f>I218*31</f>
        <v>4557</v>
      </c>
      <c r="J219" s="59">
        <f>J218*30</f>
        <v>4410</v>
      </c>
      <c r="K219" s="59">
        <f>K218*31</f>
        <v>4898</v>
      </c>
      <c r="L219" s="59">
        <f>L218*31</f>
        <v>4557</v>
      </c>
      <c r="M219" s="59">
        <f>M218*28</f>
        <v>4116</v>
      </c>
      <c r="N219" s="59">
        <f>N218*31</f>
        <v>4557</v>
      </c>
      <c r="O219" s="9">
        <f>(SUM(C219:N219))/12</f>
        <v>4836.083333333333</v>
      </c>
    </row>
    <row r="220" spans="1:15" ht="13" x14ac:dyDescent="0.3">
      <c r="B220" s="3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9"/>
    </row>
    <row r="221" spans="1:15" ht="13" x14ac:dyDescent="0.3">
      <c r="A221" s="50" t="s">
        <v>148</v>
      </c>
    </row>
    <row r="223" spans="1:15" ht="13" x14ac:dyDescent="0.3">
      <c r="C223" s="52" t="s">
        <v>64</v>
      </c>
      <c r="D223" s="52" t="s">
        <v>65</v>
      </c>
      <c r="E223" s="52" t="s">
        <v>66</v>
      </c>
      <c r="F223" s="52" t="s">
        <v>67</v>
      </c>
      <c r="G223" s="52" t="s">
        <v>68</v>
      </c>
      <c r="H223" s="52" t="s">
        <v>69</v>
      </c>
      <c r="I223" s="52" t="s">
        <v>70</v>
      </c>
      <c r="J223" s="52" t="s">
        <v>71</v>
      </c>
      <c r="K223" s="52" t="s">
        <v>72</v>
      </c>
      <c r="L223" s="52" t="s">
        <v>60</v>
      </c>
      <c r="M223" s="52" t="s">
        <v>61</v>
      </c>
      <c r="N223" s="52" t="s">
        <v>62</v>
      </c>
    </row>
    <row r="225" spans="1:14" ht="13" x14ac:dyDescent="0.3">
      <c r="B225" s="3" t="s">
        <v>125</v>
      </c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</row>
    <row r="226" spans="1:14" ht="13" x14ac:dyDescent="0.3">
      <c r="B226" s="3" t="s">
        <v>126</v>
      </c>
      <c r="C226" s="59">
        <f t="shared" ref="C226:N226" si="8">(C60*1.2)+(C71*2.2)</f>
        <v>118</v>
      </c>
      <c r="D226" s="59">
        <f t="shared" si="8"/>
        <v>118</v>
      </c>
      <c r="E226" s="59">
        <f t="shared" si="8"/>
        <v>151</v>
      </c>
      <c r="F226" s="59">
        <f t="shared" si="8"/>
        <v>151</v>
      </c>
      <c r="G226" s="59">
        <f t="shared" si="8"/>
        <v>151</v>
      </c>
      <c r="H226" s="59">
        <f t="shared" si="8"/>
        <v>118</v>
      </c>
      <c r="I226" s="59">
        <f t="shared" si="8"/>
        <v>118</v>
      </c>
      <c r="J226" s="59">
        <f t="shared" si="8"/>
        <v>118</v>
      </c>
      <c r="K226" s="59">
        <f t="shared" si="8"/>
        <v>131.19999999999999</v>
      </c>
      <c r="L226" s="59">
        <f t="shared" si="8"/>
        <v>118</v>
      </c>
      <c r="M226" s="59">
        <f t="shared" si="8"/>
        <v>118</v>
      </c>
      <c r="N226" s="59">
        <f t="shared" si="8"/>
        <v>118</v>
      </c>
    </row>
    <row r="227" spans="1:14" ht="13" x14ac:dyDescent="0.3">
      <c r="B227" s="3" t="s">
        <v>127</v>
      </c>
      <c r="C227" s="59">
        <f t="shared" ref="C227:N227" si="9">(C61*1.2)+(C72*2.2)</f>
        <v>129</v>
      </c>
      <c r="D227" s="59">
        <f t="shared" si="9"/>
        <v>129</v>
      </c>
      <c r="E227" s="59">
        <f t="shared" si="9"/>
        <v>162</v>
      </c>
      <c r="F227" s="59">
        <f t="shared" si="9"/>
        <v>162</v>
      </c>
      <c r="G227" s="59">
        <f t="shared" si="9"/>
        <v>162</v>
      </c>
      <c r="H227" s="59">
        <f t="shared" si="9"/>
        <v>129</v>
      </c>
      <c r="I227" s="59">
        <f t="shared" si="9"/>
        <v>129</v>
      </c>
      <c r="J227" s="59">
        <f t="shared" si="9"/>
        <v>129</v>
      </c>
      <c r="K227" s="59">
        <f t="shared" si="9"/>
        <v>140</v>
      </c>
      <c r="L227" s="59">
        <f t="shared" si="9"/>
        <v>129</v>
      </c>
      <c r="M227" s="59">
        <f t="shared" si="9"/>
        <v>129</v>
      </c>
      <c r="N227" s="59">
        <f t="shared" si="9"/>
        <v>129</v>
      </c>
    </row>
    <row r="228" spans="1:14" ht="13" x14ac:dyDescent="0.3">
      <c r="B228" s="3" t="s">
        <v>128</v>
      </c>
      <c r="C228" s="59">
        <f t="shared" ref="C228:N228" si="10">(C62*1.2)+(C73*2.2)</f>
        <v>140</v>
      </c>
      <c r="D228" s="59">
        <f t="shared" si="10"/>
        <v>140</v>
      </c>
      <c r="E228" s="59">
        <f t="shared" si="10"/>
        <v>162</v>
      </c>
      <c r="F228" s="59">
        <f t="shared" si="10"/>
        <v>162</v>
      </c>
      <c r="G228" s="59">
        <f t="shared" si="10"/>
        <v>162</v>
      </c>
      <c r="H228" s="59">
        <f t="shared" si="10"/>
        <v>129</v>
      </c>
      <c r="I228" s="59">
        <f t="shared" si="10"/>
        <v>129</v>
      </c>
      <c r="J228" s="59">
        <f t="shared" si="10"/>
        <v>129</v>
      </c>
      <c r="K228" s="59">
        <f t="shared" si="10"/>
        <v>140</v>
      </c>
      <c r="L228" s="59">
        <f t="shared" si="10"/>
        <v>129</v>
      </c>
      <c r="M228" s="59">
        <f t="shared" si="10"/>
        <v>129</v>
      </c>
      <c r="N228" s="59">
        <f t="shared" si="10"/>
        <v>129</v>
      </c>
    </row>
    <row r="229" spans="1:14" ht="13" x14ac:dyDescent="0.3">
      <c r="B229" s="3" t="s">
        <v>130</v>
      </c>
      <c r="C229" s="59">
        <f t="shared" ref="C229:N229" si="11">(C63*1.2)+(C74*2.2)</f>
        <v>151</v>
      </c>
      <c r="D229" s="59">
        <f t="shared" si="11"/>
        <v>140</v>
      </c>
      <c r="E229" s="59">
        <f t="shared" si="11"/>
        <v>162</v>
      </c>
      <c r="F229" s="59">
        <f t="shared" si="11"/>
        <v>162</v>
      </c>
      <c r="G229" s="59">
        <f t="shared" si="11"/>
        <v>162</v>
      </c>
      <c r="H229" s="59">
        <f t="shared" si="11"/>
        <v>129</v>
      </c>
      <c r="I229" s="59">
        <f t="shared" si="11"/>
        <v>129</v>
      </c>
      <c r="J229" s="59">
        <f t="shared" si="11"/>
        <v>129</v>
      </c>
      <c r="K229" s="59">
        <f t="shared" si="11"/>
        <v>140</v>
      </c>
      <c r="L229" s="59">
        <f t="shared" si="11"/>
        <v>129</v>
      </c>
      <c r="M229" s="59">
        <f t="shared" si="11"/>
        <v>129</v>
      </c>
      <c r="N229" s="59">
        <f t="shared" si="11"/>
        <v>129</v>
      </c>
    </row>
    <row r="230" spans="1:14" ht="13" x14ac:dyDescent="0.3">
      <c r="B230" s="3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</row>
    <row r="231" spans="1:14" ht="13" x14ac:dyDescent="0.3">
      <c r="A231" s="50" t="s">
        <v>149</v>
      </c>
    </row>
    <row r="233" spans="1:14" ht="13" x14ac:dyDescent="0.3">
      <c r="C233" s="52" t="s">
        <v>64</v>
      </c>
      <c r="D233" s="52" t="s">
        <v>65</v>
      </c>
      <c r="E233" s="52" t="s">
        <v>66</v>
      </c>
      <c r="F233" s="52" t="s">
        <v>67</v>
      </c>
      <c r="G233" s="52" t="s">
        <v>68</v>
      </c>
      <c r="H233" s="52" t="s">
        <v>69</v>
      </c>
      <c r="I233" s="52" t="s">
        <v>70</v>
      </c>
      <c r="J233" s="52" t="s">
        <v>71</v>
      </c>
      <c r="K233" s="52" t="s">
        <v>72</v>
      </c>
      <c r="L233" s="52" t="s">
        <v>60</v>
      </c>
      <c r="M233" s="52" t="s">
        <v>61</v>
      </c>
      <c r="N233" s="52" t="s">
        <v>62</v>
      </c>
    </row>
    <row r="235" spans="1:14" ht="13" x14ac:dyDescent="0.3">
      <c r="B235" s="3" t="s">
        <v>125</v>
      </c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</row>
    <row r="236" spans="1:14" ht="13" x14ac:dyDescent="0.3">
      <c r="B236" s="3" t="s">
        <v>126</v>
      </c>
      <c r="C236" s="59">
        <f t="shared" ref="C236:N236" si="12">(C117*1.2)+(C128*2.2)</f>
        <v>118</v>
      </c>
      <c r="D236" s="59">
        <f t="shared" si="12"/>
        <v>118</v>
      </c>
      <c r="E236" s="59">
        <f t="shared" si="12"/>
        <v>151</v>
      </c>
      <c r="F236" s="59">
        <f t="shared" si="12"/>
        <v>151</v>
      </c>
      <c r="G236" s="59">
        <f t="shared" si="12"/>
        <v>151</v>
      </c>
      <c r="H236" s="59">
        <f t="shared" si="12"/>
        <v>118</v>
      </c>
      <c r="I236" s="59">
        <f t="shared" si="12"/>
        <v>118</v>
      </c>
      <c r="J236" s="59">
        <f t="shared" si="12"/>
        <v>118</v>
      </c>
      <c r="K236" s="59">
        <f t="shared" si="12"/>
        <v>131.19999999999999</v>
      </c>
      <c r="L236" s="59">
        <f t="shared" si="12"/>
        <v>118</v>
      </c>
      <c r="M236" s="59">
        <f t="shared" si="12"/>
        <v>118</v>
      </c>
      <c r="N236" s="59">
        <f t="shared" si="12"/>
        <v>118</v>
      </c>
    </row>
    <row r="237" spans="1:14" ht="13" x14ac:dyDescent="0.3">
      <c r="B237" s="3" t="s">
        <v>127</v>
      </c>
      <c r="C237" s="59">
        <f t="shared" ref="C237:N237" si="13">(C118*1.2)+(C129*2.2)</f>
        <v>129</v>
      </c>
      <c r="D237" s="59">
        <f t="shared" si="13"/>
        <v>129</v>
      </c>
      <c r="E237" s="59">
        <f t="shared" si="13"/>
        <v>162</v>
      </c>
      <c r="F237" s="59">
        <f t="shared" si="13"/>
        <v>162</v>
      </c>
      <c r="G237" s="59">
        <f t="shared" si="13"/>
        <v>162</v>
      </c>
      <c r="H237" s="59">
        <f t="shared" si="13"/>
        <v>129</v>
      </c>
      <c r="I237" s="59">
        <f t="shared" si="13"/>
        <v>129</v>
      </c>
      <c r="J237" s="59">
        <f t="shared" si="13"/>
        <v>129</v>
      </c>
      <c r="K237" s="59">
        <f t="shared" si="13"/>
        <v>140</v>
      </c>
      <c r="L237" s="59">
        <f t="shared" si="13"/>
        <v>129</v>
      </c>
      <c r="M237" s="59">
        <f t="shared" si="13"/>
        <v>129</v>
      </c>
      <c r="N237" s="59">
        <f t="shared" si="13"/>
        <v>129</v>
      </c>
    </row>
    <row r="238" spans="1:14" ht="13" x14ac:dyDescent="0.3">
      <c r="B238" s="3" t="s">
        <v>128</v>
      </c>
      <c r="C238" s="59">
        <f t="shared" ref="C238:N238" si="14">(C119*1.2)+(C130*2.2)</f>
        <v>140</v>
      </c>
      <c r="D238" s="59">
        <f t="shared" si="14"/>
        <v>140</v>
      </c>
      <c r="E238" s="59">
        <f t="shared" si="14"/>
        <v>162</v>
      </c>
      <c r="F238" s="59">
        <f t="shared" si="14"/>
        <v>162</v>
      </c>
      <c r="G238" s="59">
        <f t="shared" si="14"/>
        <v>162</v>
      </c>
      <c r="H238" s="59">
        <f t="shared" si="14"/>
        <v>129</v>
      </c>
      <c r="I238" s="59">
        <f t="shared" si="14"/>
        <v>129</v>
      </c>
      <c r="J238" s="59">
        <f t="shared" si="14"/>
        <v>129</v>
      </c>
      <c r="K238" s="59">
        <f t="shared" si="14"/>
        <v>140</v>
      </c>
      <c r="L238" s="59">
        <f t="shared" si="14"/>
        <v>129</v>
      </c>
      <c r="M238" s="59">
        <f t="shared" si="14"/>
        <v>129</v>
      </c>
      <c r="N238" s="59">
        <f t="shared" si="14"/>
        <v>129</v>
      </c>
    </row>
    <row r="239" spans="1:14" ht="13" x14ac:dyDescent="0.3">
      <c r="B239" s="3" t="s">
        <v>130</v>
      </c>
      <c r="C239" s="59">
        <f t="shared" ref="C239:N239" si="15">(C120*1.2)+(C131*2.2)</f>
        <v>151</v>
      </c>
      <c r="D239" s="59">
        <f t="shared" si="15"/>
        <v>140</v>
      </c>
      <c r="E239" s="59">
        <f t="shared" si="15"/>
        <v>162</v>
      </c>
      <c r="F239" s="59">
        <f t="shared" si="15"/>
        <v>162</v>
      </c>
      <c r="G239" s="59">
        <f t="shared" si="15"/>
        <v>162</v>
      </c>
      <c r="H239" s="59">
        <f t="shared" si="15"/>
        <v>129</v>
      </c>
      <c r="I239" s="59">
        <f t="shared" si="15"/>
        <v>129</v>
      </c>
      <c r="J239" s="59">
        <f t="shared" si="15"/>
        <v>129</v>
      </c>
      <c r="K239" s="59">
        <f t="shared" si="15"/>
        <v>140</v>
      </c>
      <c r="L239" s="59">
        <f t="shared" si="15"/>
        <v>129</v>
      </c>
      <c r="M239" s="59">
        <f t="shared" si="15"/>
        <v>129</v>
      </c>
      <c r="N239" s="59">
        <f t="shared" si="15"/>
        <v>129</v>
      </c>
    </row>
    <row r="241" spans="1:15" ht="13" x14ac:dyDescent="0.3">
      <c r="A241" s="50" t="s">
        <v>150</v>
      </c>
    </row>
    <row r="242" spans="1:15" ht="13" x14ac:dyDescent="0.3">
      <c r="A242" s="50" t="s">
        <v>146</v>
      </c>
    </row>
    <row r="244" spans="1:15" ht="13" x14ac:dyDescent="0.3">
      <c r="C244" s="52" t="s">
        <v>64</v>
      </c>
      <c r="D244" s="52" t="s">
        <v>65</v>
      </c>
      <c r="E244" s="52" t="s">
        <v>66</v>
      </c>
      <c r="F244" s="52" t="s">
        <v>67</v>
      </c>
      <c r="G244" s="52" t="s">
        <v>68</v>
      </c>
      <c r="H244" s="52" t="s">
        <v>69</v>
      </c>
      <c r="I244" s="52" t="s">
        <v>70</v>
      </c>
      <c r="J244" s="52" t="s">
        <v>71</v>
      </c>
      <c r="K244" s="52" t="s">
        <v>72</v>
      </c>
      <c r="L244" s="52" t="s">
        <v>60</v>
      </c>
      <c r="M244" s="52" t="s">
        <v>61</v>
      </c>
      <c r="N244" s="52" t="s">
        <v>62</v>
      </c>
    </row>
    <row r="246" spans="1:15" ht="13" x14ac:dyDescent="0.3">
      <c r="B246" s="3" t="s">
        <v>125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3" x14ac:dyDescent="0.3">
      <c r="B247" s="3" t="s">
        <v>126</v>
      </c>
      <c r="C247" s="59">
        <f t="shared" ref="C247:N247" si="16">C24*2.2</f>
        <v>22</v>
      </c>
      <c r="D247" s="59">
        <f t="shared" si="16"/>
        <v>22</v>
      </c>
      <c r="E247" s="59">
        <f t="shared" si="16"/>
        <v>55.000000000000007</v>
      </c>
      <c r="F247" s="59">
        <f t="shared" si="16"/>
        <v>55.000000000000007</v>
      </c>
      <c r="G247" s="59">
        <f t="shared" si="16"/>
        <v>55.000000000000007</v>
      </c>
      <c r="H247" s="59">
        <f t="shared" si="16"/>
        <v>22</v>
      </c>
      <c r="I247" s="59">
        <f t="shared" si="16"/>
        <v>22</v>
      </c>
      <c r="J247" s="59">
        <f t="shared" si="16"/>
        <v>22</v>
      </c>
      <c r="K247" s="59">
        <f t="shared" si="16"/>
        <v>35.200000000000003</v>
      </c>
      <c r="L247" s="59">
        <f t="shared" si="16"/>
        <v>22</v>
      </c>
      <c r="M247" s="59">
        <f t="shared" si="16"/>
        <v>22</v>
      </c>
      <c r="N247" s="59">
        <f t="shared" si="16"/>
        <v>22</v>
      </c>
    </row>
    <row r="248" spans="1:15" ht="13" x14ac:dyDescent="0.3">
      <c r="B248" s="3" t="s">
        <v>127</v>
      </c>
      <c r="C248" s="59">
        <f t="shared" ref="C248:N248" si="17">C25*2.2</f>
        <v>33</v>
      </c>
      <c r="D248" s="59">
        <f t="shared" si="17"/>
        <v>33</v>
      </c>
      <c r="E248" s="59">
        <f t="shared" si="17"/>
        <v>66</v>
      </c>
      <c r="F248" s="59">
        <f t="shared" si="17"/>
        <v>66</v>
      </c>
      <c r="G248" s="59">
        <f t="shared" si="17"/>
        <v>66</v>
      </c>
      <c r="H248" s="59">
        <f t="shared" si="17"/>
        <v>33</v>
      </c>
      <c r="I248" s="59">
        <f t="shared" si="17"/>
        <v>33</v>
      </c>
      <c r="J248" s="59">
        <f t="shared" si="17"/>
        <v>33</v>
      </c>
      <c r="K248" s="59">
        <f t="shared" si="17"/>
        <v>44</v>
      </c>
      <c r="L248" s="59">
        <f t="shared" si="17"/>
        <v>33</v>
      </c>
      <c r="M248" s="59">
        <f t="shared" si="17"/>
        <v>33</v>
      </c>
      <c r="N248" s="59">
        <f t="shared" si="17"/>
        <v>33</v>
      </c>
    </row>
    <row r="249" spans="1:15" ht="13" x14ac:dyDescent="0.3">
      <c r="B249" s="3" t="s">
        <v>128</v>
      </c>
      <c r="C249" s="59">
        <f t="shared" ref="C249:N249" si="18">C26*2.2</f>
        <v>44</v>
      </c>
      <c r="D249" s="59">
        <f t="shared" si="18"/>
        <v>44</v>
      </c>
      <c r="E249" s="59">
        <f t="shared" si="18"/>
        <v>66</v>
      </c>
      <c r="F249" s="59">
        <f t="shared" si="18"/>
        <v>66</v>
      </c>
      <c r="G249" s="59">
        <f t="shared" si="18"/>
        <v>66</v>
      </c>
      <c r="H249" s="59">
        <f t="shared" si="18"/>
        <v>33</v>
      </c>
      <c r="I249" s="59">
        <f t="shared" si="18"/>
        <v>33</v>
      </c>
      <c r="J249" s="59">
        <f t="shared" si="18"/>
        <v>33</v>
      </c>
      <c r="K249" s="59">
        <f t="shared" si="18"/>
        <v>44</v>
      </c>
      <c r="L249" s="59">
        <f t="shared" si="18"/>
        <v>33</v>
      </c>
      <c r="M249" s="59">
        <f t="shared" si="18"/>
        <v>33</v>
      </c>
      <c r="N249" s="59">
        <f t="shared" si="18"/>
        <v>33</v>
      </c>
    </row>
    <row r="250" spans="1:15" ht="13" x14ac:dyDescent="0.3">
      <c r="B250" s="3" t="s">
        <v>130</v>
      </c>
      <c r="C250" s="59">
        <f t="shared" ref="C250:N250" si="19">C27*2.2</f>
        <v>55.000000000000007</v>
      </c>
      <c r="D250" s="59">
        <f t="shared" si="19"/>
        <v>44</v>
      </c>
      <c r="E250" s="59">
        <f t="shared" si="19"/>
        <v>66</v>
      </c>
      <c r="F250" s="59">
        <f t="shared" si="19"/>
        <v>66</v>
      </c>
      <c r="G250" s="59">
        <f t="shared" si="19"/>
        <v>66</v>
      </c>
      <c r="H250" s="59">
        <f t="shared" si="19"/>
        <v>33</v>
      </c>
      <c r="I250" s="59">
        <f t="shared" si="19"/>
        <v>33</v>
      </c>
      <c r="J250" s="59">
        <f t="shared" si="19"/>
        <v>33</v>
      </c>
      <c r="K250" s="59">
        <f t="shared" si="19"/>
        <v>44</v>
      </c>
      <c r="L250" s="59">
        <f t="shared" si="19"/>
        <v>33</v>
      </c>
      <c r="M250" s="59">
        <f t="shared" si="19"/>
        <v>33</v>
      </c>
      <c r="N250" s="59">
        <f t="shared" si="19"/>
        <v>33</v>
      </c>
    </row>
    <row r="251" spans="1:15" ht="13" x14ac:dyDescent="0.3">
      <c r="B251" s="3" t="s">
        <v>147</v>
      </c>
      <c r="C251" s="59">
        <f>C250*30</f>
        <v>1650.0000000000002</v>
      </c>
      <c r="D251" s="59">
        <f>D250*31</f>
        <v>1364</v>
      </c>
      <c r="E251" s="59">
        <f>E250*30</f>
        <v>1980</v>
      </c>
      <c r="F251" s="59">
        <f>F250*31</f>
        <v>2046</v>
      </c>
      <c r="G251" s="59">
        <f>G250*31</f>
        <v>2046</v>
      </c>
      <c r="H251" s="59">
        <f>H250*30</f>
        <v>990</v>
      </c>
      <c r="I251" s="59">
        <f>I250*31</f>
        <v>1023</v>
      </c>
      <c r="J251" s="59">
        <f>J250*30</f>
        <v>990</v>
      </c>
      <c r="K251" s="59">
        <f>K250*31</f>
        <v>1364</v>
      </c>
      <c r="L251" s="59">
        <f>L250*31</f>
        <v>1023</v>
      </c>
      <c r="M251" s="59">
        <f>M250*28</f>
        <v>924</v>
      </c>
      <c r="N251" s="59">
        <f>N250*31</f>
        <v>1023</v>
      </c>
      <c r="O251" s="9">
        <f>(SUM(C251:N251))/12</f>
        <v>1368.5833333333333</v>
      </c>
    </row>
    <row r="252" spans="1:15" ht="13" x14ac:dyDescent="0.3">
      <c r="B252" s="3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9"/>
    </row>
    <row r="253" spans="1:15" ht="13" x14ac:dyDescent="0.3">
      <c r="A253" s="50" t="s">
        <v>148</v>
      </c>
    </row>
    <row r="255" spans="1:15" ht="13" x14ac:dyDescent="0.3">
      <c r="C255" s="52" t="s">
        <v>64</v>
      </c>
      <c r="D255" s="52" t="s">
        <v>65</v>
      </c>
      <c r="E255" s="52" t="s">
        <v>66</v>
      </c>
      <c r="F255" s="52" t="s">
        <v>67</v>
      </c>
      <c r="G255" s="52" t="s">
        <v>68</v>
      </c>
      <c r="H255" s="52" t="s">
        <v>69</v>
      </c>
      <c r="I255" s="52" t="s">
        <v>70</v>
      </c>
      <c r="J255" s="52" t="s">
        <v>71</v>
      </c>
      <c r="K255" s="52" t="s">
        <v>72</v>
      </c>
      <c r="L255" s="52" t="s">
        <v>60</v>
      </c>
      <c r="M255" s="52" t="s">
        <v>61</v>
      </c>
      <c r="N255" s="52" t="s">
        <v>62</v>
      </c>
    </row>
    <row r="257" spans="1:14" ht="13" x14ac:dyDescent="0.3">
      <c r="B257" s="3" t="s">
        <v>125</v>
      </c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</row>
    <row r="258" spans="1:14" ht="13" x14ac:dyDescent="0.3">
      <c r="B258" s="3" t="s">
        <v>126</v>
      </c>
      <c r="C258" s="59">
        <f t="shared" ref="C258:N258" si="20">C71*2.2</f>
        <v>22</v>
      </c>
      <c r="D258" s="59">
        <f t="shared" si="20"/>
        <v>22</v>
      </c>
      <c r="E258" s="59">
        <f t="shared" si="20"/>
        <v>55.000000000000007</v>
      </c>
      <c r="F258" s="59">
        <f t="shared" si="20"/>
        <v>55.000000000000007</v>
      </c>
      <c r="G258" s="59">
        <f t="shared" si="20"/>
        <v>55.000000000000007</v>
      </c>
      <c r="H258" s="59">
        <f t="shared" si="20"/>
        <v>22</v>
      </c>
      <c r="I258" s="59">
        <f t="shared" si="20"/>
        <v>22</v>
      </c>
      <c r="J258" s="59">
        <f t="shared" si="20"/>
        <v>22</v>
      </c>
      <c r="K258" s="59">
        <f t="shared" si="20"/>
        <v>35.200000000000003</v>
      </c>
      <c r="L258" s="59">
        <f t="shared" si="20"/>
        <v>22</v>
      </c>
      <c r="M258" s="59">
        <f t="shared" si="20"/>
        <v>22</v>
      </c>
      <c r="N258" s="59">
        <f t="shared" si="20"/>
        <v>22</v>
      </c>
    </row>
    <row r="259" spans="1:14" ht="13" x14ac:dyDescent="0.3">
      <c r="B259" s="3" t="s">
        <v>127</v>
      </c>
      <c r="C259" s="59">
        <f t="shared" ref="C259:N259" si="21">C72*2.2</f>
        <v>33</v>
      </c>
      <c r="D259" s="59">
        <f t="shared" si="21"/>
        <v>33</v>
      </c>
      <c r="E259" s="59">
        <f t="shared" si="21"/>
        <v>66</v>
      </c>
      <c r="F259" s="59">
        <f t="shared" si="21"/>
        <v>66</v>
      </c>
      <c r="G259" s="59">
        <f t="shared" si="21"/>
        <v>66</v>
      </c>
      <c r="H259" s="59">
        <f t="shared" si="21"/>
        <v>33</v>
      </c>
      <c r="I259" s="59">
        <f t="shared" si="21"/>
        <v>33</v>
      </c>
      <c r="J259" s="59">
        <f t="shared" si="21"/>
        <v>33</v>
      </c>
      <c r="K259" s="59">
        <f t="shared" si="21"/>
        <v>44</v>
      </c>
      <c r="L259" s="59">
        <f t="shared" si="21"/>
        <v>33</v>
      </c>
      <c r="M259" s="59">
        <f t="shared" si="21"/>
        <v>33</v>
      </c>
      <c r="N259" s="59">
        <f t="shared" si="21"/>
        <v>33</v>
      </c>
    </row>
    <row r="260" spans="1:14" ht="13" x14ac:dyDescent="0.3">
      <c r="B260" s="3" t="s">
        <v>128</v>
      </c>
      <c r="C260" s="59">
        <f t="shared" ref="C260:N260" si="22">C73*2.2</f>
        <v>44</v>
      </c>
      <c r="D260" s="59">
        <f t="shared" si="22"/>
        <v>44</v>
      </c>
      <c r="E260" s="59">
        <f t="shared" si="22"/>
        <v>66</v>
      </c>
      <c r="F260" s="59">
        <f t="shared" si="22"/>
        <v>66</v>
      </c>
      <c r="G260" s="59">
        <f t="shared" si="22"/>
        <v>66</v>
      </c>
      <c r="H260" s="59">
        <f t="shared" si="22"/>
        <v>33</v>
      </c>
      <c r="I260" s="59">
        <f t="shared" si="22"/>
        <v>33</v>
      </c>
      <c r="J260" s="59">
        <f t="shared" si="22"/>
        <v>33</v>
      </c>
      <c r="K260" s="59">
        <f t="shared" si="22"/>
        <v>44</v>
      </c>
      <c r="L260" s="59">
        <f t="shared" si="22"/>
        <v>33</v>
      </c>
      <c r="M260" s="59">
        <f t="shared" si="22"/>
        <v>33</v>
      </c>
      <c r="N260" s="59">
        <f t="shared" si="22"/>
        <v>33</v>
      </c>
    </row>
    <row r="261" spans="1:14" ht="13" x14ac:dyDescent="0.3">
      <c r="B261" s="3" t="s">
        <v>130</v>
      </c>
      <c r="C261" s="59">
        <f t="shared" ref="C261:N261" si="23">C74*2.2</f>
        <v>55.000000000000007</v>
      </c>
      <c r="D261" s="59">
        <f t="shared" si="23"/>
        <v>44</v>
      </c>
      <c r="E261" s="59">
        <f t="shared" si="23"/>
        <v>66</v>
      </c>
      <c r="F261" s="59">
        <f t="shared" si="23"/>
        <v>66</v>
      </c>
      <c r="G261" s="59">
        <f t="shared" si="23"/>
        <v>66</v>
      </c>
      <c r="H261" s="59">
        <f t="shared" si="23"/>
        <v>33</v>
      </c>
      <c r="I261" s="59">
        <f t="shared" si="23"/>
        <v>33</v>
      </c>
      <c r="J261" s="59">
        <f t="shared" si="23"/>
        <v>33</v>
      </c>
      <c r="K261" s="59">
        <f t="shared" si="23"/>
        <v>44</v>
      </c>
      <c r="L261" s="59">
        <f t="shared" si="23"/>
        <v>33</v>
      </c>
      <c r="M261" s="59">
        <f t="shared" si="23"/>
        <v>33</v>
      </c>
      <c r="N261" s="59">
        <f t="shared" si="23"/>
        <v>33</v>
      </c>
    </row>
    <row r="262" spans="1:14" ht="13" x14ac:dyDescent="0.3">
      <c r="B262" s="3"/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</row>
    <row r="263" spans="1:14" ht="13" x14ac:dyDescent="0.3">
      <c r="A263" s="50" t="s">
        <v>149</v>
      </c>
    </row>
    <row r="265" spans="1:14" ht="13" x14ac:dyDescent="0.3">
      <c r="C265" s="52" t="s">
        <v>64</v>
      </c>
      <c r="D265" s="52" t="s">
        <v>65</v>
      </c>
      <c r="E265" s="52" t="s">
        <v>66</v>
      </c>
      <c r="F265" s="52" t="s">
        <v>67</v>
      </c>
      <c r="G265" s="52" t="s">
        <v>68</v>
      </c>
      <c r="H265" s="52" t="s">
        <v>69</v>
      </c>
      <c r="I265" s="52" t="s">
        <v>70</v>
      </c>
      <c r="J265" s="52" t="s">
        <v>71</v>
      </c>
      <c r="K265" s="52" t="s">
        <v>72</v>
      </c>
      <c r="L265" s="52" t="s">
        <v>60</v>
      </c>
      <c r="M265" s="52" t="s">
        <v>61</v>
      </c>
      <c r="N265" s="52" t="s">
        <v>62</v>
      </c>
    </row>
    <row r="267" spans="1:14" ht="13" x14ac:dyDescent="0.3">
      <c r="B267" s="3" t="s">
        <v>125</v>
      </c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</row>
    <row r="268" spans="1:14" ht="13" x14ac:dyDescent="0.3">
      <c r="B268" s="3" t="s">
        <v>126</v>
      </c>
      <c r="C268" s="59">
        <f t="shared" ref="C268:N268" si="24">C128*2.2</f>
        <v>22</v>
      </c>
      <c r="D268" s="59">
        <f t="shared" si="24"/>
        <v>22</v>
      </c>
      <c r="E268" s="59">
        <f t="shared" si="24"/>
        <v>55.000000000000007</v>
      </c>
      <c r="F268" s="59">
        <f t="shared" si="24"/>
        <v>55.000000000000007</v>
      </c>
      <c r="G268" s="59">
        <f t="shared" si="24"/>
        <v>55.000000000000007</v>
      </c>
      <c r="H268" s="59">
        <f t="shared" si="24"/>
        <v>22</v>
      </c>
      <c r="I268" s="59">
        <f t="shared" si="24"/>
        <v>22</v>
      </c>
      <c r="J268" s="59">
        <f t="shared" si="24"/>
        <v>22</v>
      </c>
      <c r="K268" s="59">
        <f t="shared" si="24"/>
        <v>35.200000000000003</v>
      </c>
      <c r="L268" s="59">
        <f t="shared" si="24"/>
        <v>22</v>
      </c>
      <c r="M268" s="59">
        <f t="shared" si="24"/>
        <v>22</v>
      </c>
      <c r="N268" s="59">
        <f t="shared" si="24"/>
        <v>22</v>
      </c>
    </row>
    <row r="269" spans="1:14" ht="13" x14ac:dyDescent="0.3">
      <c r="B269" s="3" t="s">
        <v>127</v>
      </c>
      <c r="C269" s="59">
        <f t="shared" ref="C269:N269" si="25">C129*2.2</f>
        <v>33</v>
      </c>
      <c r="D269" s="59">
        <f t="shared" si="25"/>
        <v>33</v>
      </c>
      <c r="E269" s="59">
        <f t="shared" si="25"/>
        <v>66</v>
      </c>
      <c r="F269" s="59">
        <f t="shared" si="25"/>
        <v>66</v>
      </c>
      <c r="G269" s="59">
        <f t="shared" si="25"/>
        <v>66</v>
      </c>
      <c r="H269" s="59">
        <f t="shared" si="25"/>
        <v>33</v>
      </c>
      <c r="I269" s="59">
        <f t="shared" si="25"/>
        <v>33</v>
      </c>
      <c r="J269" s="59">
        <f t="shared" si="25"/>
        <v>33</v>
      </c>
      <c r="K269" s="59">
        <f t="shared" si="25"/>
        <v>44</v>
      </c>
      <c r="L269" s="59">
        <f t="shared" si="25"/>
        <v>33</v>
      </c>
      <c r="M269" s="59">
        <f t="shared" si="25"/>
        <v>33</v>
      </c>
      <c r="N269" s="59">
        <f t="shared" si="25"/>
        <v>33</v>
      </c>
    </row>
    <row r="270" spans="1:14" ht="13" x14ac:dyDescent="0.3">
      <c r="B270" s="3" t="s">
        <v>128</v>
      </c>
      <c r="C270" s="59">
        <f t="shared" ref="C270:N270" si="26">C130*2.2</f>
        <v>44</v>
      </c>
      <c r="D270" s="59">
        <f t="shared" si="26"/>
        <v>44</v>
      </c>
      <c r="E270" s="59">
        <f t="shared" si="26"/>
        <v>66</v>
      </c>
      <c r="F270" s="59">
        <f t="shared" si="26"/>
        <v>66</v>
      </c>
      <c r="G270" s="59">
        <f t="shared" si="26"/>
        <v>66</v>
      </c>
      <c r="H270" s="59">
        <f t="shared" si="26"/>
        <v>33</v>
      </c>
      <c r="I270" s="59">
        <f t="shared" si="26"/>
        <v>33</v>
      </c>
      <c r="J270" s="59">
        <f t="shared" si="26"/>
        <v>33</v>
      </c>
      <c r="K270" s="59">
        <f t="shared" si="26"/>
        <v>44</v>
      </c>
      <c r="L270" s="59">
        <f t="shared" si="26"/>
        <v>33</v>
      </c>
      <c r="M270" s="59">
        <f t="shared" si="26"/>
        <v>33</v>
      </c>
      <c r="N270" s="59">
        <f t="shared" si="26"/>
        <v>33</v>
      </c>
    </row>
    <row r="271" spans="1:14" ht="13" x14ac:dyDescent="0.3">
      <c r="B271" s="3" t="s">
        <v>130</v>
      </c>
      <c r="C271" s="59">
        <f t="shared" ref="C271:N271" si="27">C131*2.2</f>
        <v>55.000000000000007</v>
      </c>
      <c r="D271" s="59">
        <f t="shared" si="27"/>
        <v>44</v>
      </c>
      <c r="E271" s="59">
        <f t="shared" si="27"/>
        <v>66</v>
      </c>
      <c r="F271" s="59">
        <f t="shared" si="27"/>
        <v>66</v>
      </c>
      <c r="G271" s="59">
        <f t="shared" si="27"/>
        <v>66</v>
      </c>
      <c r="H271" s="59">
        <f t="shared" si="27"/>
        <v>33</v>
      </c>
      <c r="I271" s="59">
        <f t="shared" si="27"/>
        <v>33</v>
      </c>
      <c r="J271" s="59">
        <f t="shared" si="27"/>
        <v>33</v>
      </c>
      <c r="K271" s="59">
        <f t="shared" si="27"/>
        <v>44</v>
      </c>
      <c r="L271" s="59">
        <f t="shared" si="27"/>
        <v>33</v>
      </c>
      <c r="M271" s="59">
        <f t="shared" si="27"/>
        <v>33</v>
      </c>
      <c r="N271" s="59">
        <f t="shared" si="27"/>
        <v>33</v>
      </c>
    </row>
    <row r="281" spans="1:14" ht="13" x14ac:dyDescent="0.3">
      <c r="A281" s="50" t="s">
        <v>151</v>
      </c>
    </row>
    <row r="283" spans="1:14" ht="13" x14ac:dyDescent="0.3">
      <c r="C283" s="52" t="s">
        <v>64</v>
      </c>
      <c r="D283" s="52" t="s">
        <v>65</v>
      </c>
      <c r="E283" s="52" t="s">
        <v>66</v>
      </c>
      <c r="F283" s="52" t="s">
        <v>67</v>
      </c>
      <c r="G283" s="52" t="s">
        <v>68</v>
      </c>
      <c r="H283" s="52" t="s">
        <v>69</v>
      </c>
      <c r="I283" s="52" t="s">
        <v>70</v>
      </c>
      <c r="J283" s="52" t="s">
        <v>71</v>
      </c>
      <c r="K283" s="52" t="s">
        <v>72</v>
      </c>
      <c r="L283" s="52" t="s">
        <v>60</v>
      </c>
      <c r="M283" s="52" t="s">
        <v>61</v>
      </c>
      <c r="N283" s="52" t="s">
        <v>62</v>
      </c>
    </row>
    <row r="285" spans="1:14" ht="13" x14ac:dyDescent="0.3">
      <c r="B285" s="3" t="s">
        <v>125</v>
      </c>
      <c r="C285" s="59"/>
      <c r="D285" s="59"/>
      <c r="E285" s="59"/>
      <c r="F285" s="59"/>
      <c r="G285" s="59"/>
      <c r="H285" s="59"/>
      <c r="I285" s="59"/>
      <c r="J285" s="59"/>
      <c r="K285" s="59"/>
      <c r="L285" s="56"/>
      <c r="M285" s="56"/>
      <c r="N285" s="56"/>
    </row>
    <row r="286" spans="1:14" ht="13" x14ac:dyDescent="0.3">
      <c r="B286" s="3" t="s">
        <v>126</v>
      </c>
      <c r="C286" s="56">
        <v>0.4</v>
      </c>
      <c r="D286" s="56">
        <v>0.4</v>
      </c>
      <c r="E286" s="56">
        <v>0.4</v>
      </c>
      <c r="F286" s="56">
        <v>0.4</v>
      </c>
      <c r="G286" s="56">
        <v>0.4</v>
      </c>
      <c r="H286" s="56">
        <v>0.4</v>
      </c>
      <c r="I286" s="56">
        <v>0.4</v>
      </c>
      <c r="J286" s="56">
        <v>0.4</v>
      </c>
      <c r="K286" s="56">
        <v>0.4</v>
      </c>
      <c r="L286" s="56">
        <v>0.4</v>
      </c>
      <c r="M286" s="56">
        <v>0.4</v>
      </c>
      <c r="N286" s="56">
        <v>0.4</v>
      </c>
    </row>
    <row r="287" spans="1:14" ht="13" x14ac:dyDescent="0.3">
      <c r="B287" s="3" t="s">
        <v>127</v>
      </c>
      <c r="C287" s="56">
        <v>0.4</v>
      </c>
      <c r="D287" s="56">
        <v>0.4</v>
      </c>
      <c r="E287" s="56">
        <v>0.4</v>
      </c>
      <c r="F287" s="56">
        <v>0.4</v>
      </c>
      <c r="G287" s="56">
        <v>0.4</v>
      </c>
      <c r="H287" s="56">
        <v>0.4</v>
      </c>
      <c r="I287" s="56">
        <v>0.4</v>
      </c>
      <c r="J287" s="56">
        <v>0.4</v>
      </c>
      <c r="K287" s="56">
        <v>0.4</v>
      </c>
      <c r="L287" s="56">
        <v>0.4</v>
      </c>
      <c r="M287" s="56">
        <v>0.4</v>
      </c>
      <c r="N287" s="56">
        <v>0.4</v>
      </c>
    </row>
    <row r="288" spans="1:14" ht="13" x14ac:dyDescent="0.3">
      <c r="B288" s="3" t="s">
        <v>128</v>
      </c>
      <c r="C288" s="56">
        <v>0.4</v>
      </c>
      <c r="D288" s="56">
        <v>0.4</v>
      </c>
      <c r="E288" s="56">
        <v>0.4</v>
      </c>
      <c r="F288" s="56">
        <v>0.4</v>
      </c>
      <c r="G288" s="56">
        <v>0.4</v>
      </c>
      <c r="H288" s="56">
        <v>0.4</v>
      </c>
      <c r="I288" s="56">
        <v>0.4</v>
      </c>
      <c r="J288" s="56">
        <v>0.4</v>
      </c>
      <c r="K288" s="56">
        <v>0.4</v>
      </c>
      <c r="L288" s="56">
        <v>0.4</v>
      </c>
      <c r="M288" s="56">
        <v>0.4</v>
      </c>
      <c r="N288" s="56">
        <v>0.4</v>
      </c>
    </row>
    <row r="289" spans="2:14" ht="13" x14ac:dyDescent="0.3">
      <c r="B289" s="3" t="s">
        <v>130</v>
      </c>
      <c r="C289" s="56">
        <v>0.4</v>
      </c>
      <c r="D289" s="56">
        <v>0.4</v>
      </c>
      <c r="E289" s="56">
        <v>0.4</v>
      </c>
      <c r="F289" s="56">
        <v>0.4</v>
      </c>
      <c r="G289" s="56">
        <v>0.4</v>
      </c>
      <c r="H289" s="56">
        <v>0.4</v>
      </c>
      <c r="I289" s="56">
        <v>0.4</v>
      </c>
      <c r="J289" s="56">
        <v>0.4</v>
      </c>
      <c r="K289" s="56">
        <v>0.4</v>
      </c>
      <c r="L289" s="56">
        <v>0.4</v>
      </c>
      <c r="M289" s="56">
        <v>0.4</v>
      </c>
      <c r="N289" s="56">
        <v>0.4</v>
      </c>
    </row>
    <row r="349" spans="1:2" ht="13" x14ac:dyDescent="0.3">
      <c r="A349" s="50" t="s">
        <v>140</v>
      </c>
    </row>
    <row r="351" spans="1:2" ht="13" x14ac:dyDescent="0.3">
      <c r="B351" s="3" t="s">
        <v>141</v>
      </c>
    </row>
    <row r="353" spans="2:15" ht="13" x14ac:dyDescent="0.3">
      <c r="C353" s="52" t="s">
        <v>64</v>
      </c>
      <c r="D353" s="52" t="s">
        <v>65</v>
      </c>
      <c r="E353" s="52" t="s">
        <v>66</v>
      </c>
      <c r="F353" s="52" t="s">
        <v>67</v>
      </c>
      <c r="G353" s="52" t="s">
        <v>68</v>
      </c>
      <c r="H353" s="52" t="s">
        <v>69</v>
      </c>
      <c r="I353" s="52" t="s">
        <v>70</v>
      </c>
      <c r="J353" s="52" t="s">
        <v>71</v>
      </c>
      <c r="K353" s="52" t="s">
        <v>72</v>
      </c>
      <c r="L353" s="52" t="s">
        <v>60</v>
      </c>
      <c r="M353" s="52" t="s">
        <v>61</v>
      </c>
      <c r="N353" s="52" t="s">
        <v>62</v>
      </c>
      <c r="O353" s="52" t="s">
        <v>3</v>
      </c>
    </row>
    <row r="355" spans="2:15" ht="13" x14ac:dyDescent="0.3">
      <c r="B355" s="3" t="s">
        <v>125</v>
      </c>
      <c r="C355" s="59"/>
      <c r="D355" s="59"/>
      <c r="E355" s="59"/>
      <c r="F355" s="59"/>
      <c r="G355" s="59"/>
      <c r="H355" s="59"/>
      <c r="I355" s="59"/>
      <c r="J355" s="59"/>
      <c r="K355" s="59"/>
      <c r="L355" s="59">
        <v>11</v>
      </c>
      <c r="M355" s="59">
        <v>28</v>
      </c>
      <c r="N355" s="59">
        <v>31</v>
      </c>
      <c r="O355" s="12">
        <f>SUM(L355:N355)</f>
        <v>70</v>
      </c>
    </row>
    <row r="356" spans="2:15" ht="13" x14ac:dyDescent="0.3">
      <c r="B356" s="3" t="s">
        <v>126</v>
      </c>
      <c r="C356" s="59">
        <v>30</v>
      </c>
      <c r="D356" s="59">
        <v>31</v>
      </c>
      <c r="E356" s="59">
        <v>30</v>
      </c>
      <c r="F356" s="59">
        <v>31</v>
      </c>
      <c r="G356" s="59">
        <v>31</v>
      </c>
      <c r="H356" s="59">
        <v>30</v>
      </c>
      <c r="I356" s="59">
        <v>31</v>
      </c>
      <c r="J356" s="59">
        <v>30</v>
      </c>
      <c r="K356" s="59">
        <v>31</v>
      </c>
      <c r="L356" s="59">
        <v>31</v>
      </c>
      <c r="M356" s="59">
        <v>28</v>
      </c>
      <c r="N356" s="59">
        <v>31</v>
      </c>
      <c r="O356" s="12">
        <f>SUM(C356:N356)</f>
        <v>365</v>
      </c>
    </row>
    <row r="357" spans="2:15" ht="13" x14ac:dyDescent="0.3">
      <c r="B357" s="3" t="s">
        <v>127</v>
      </c>
      <c r="C357" s="59">
        <v>30</v>
      </c>
      <c r="D357" s="59">
        <v>31</v>
      </c>
      <c r="E357" s="59">
        <v>30</v>
      </c>
      <c r="F357" s="59">
        <v>31</v>
      </c>
      <c r="G357" s="59">
        <v>31</v>
      </c>
      <c r="H357" s="59">
        <v>30</v>
      </c>
      <c r="I357" s="59">
        <v>31</v>
      </c>
      <c r="J357" s="59">
        <v>30</v>
      </c>
      <c r="K357" s="59">
        <v>31</v>
      </c>
      <c r="L357" s="59">
        <v>31</v>
      </c>
      <c r="M357" s="59">
        <v>29</v>
      </c>
      <c r="N357" s="59">
        <v>31</v>
      </c>
      <c r="O357" s="12">
        <f>SUM(C357:N357)</f>
        <v>366</v>
      </c>
    </row>
    <row r="358" spans="2:15" ht="13" x14ac:dyDescent="0.3">
      <c r="B358" s="3" t="s">
        <v>128</v>
      </c>
      <c r="C358" s="59">
        <v>30</v>
      </c>
      <c r="D358" s="59">
        <v>31</v>
      </c>
      <c r="E358" s="59">
        <v>30</v>
      </c>
      <c r="F358" s="59">
        <v>31</v>
      </c>
      <c r="G358" s="59">
        <v>31</v>
      </c>
      <c r="H358" s="59">
        <v>30</v>
      </c>
      <c r="I358" s="59">
        <v>31</v>
      </c>
      <c r="J358" s="59">
        <v>30</v>
      </c>
      <c r="K358" s="59">
        <v>31</v>
      </c>
      <c r="L358" s="59">
        <v>31</v>
      </c>
      <c r="M358" s="59">
        <v>28</v>
      </c>
      <c r="N358" s="59">
        <v>31</v>
      </c>
      <c r="O358" s="12">
        <f>SUM(C358:N358)</f>
        <v>365</v>
      </c>
    </row>
    <row r="359" spans="2:15" ht="13" x14ac:dyDescent="0.3">
      <c r="B359" s="3" t="s">
        <v>130</v>
      </c>
      <c r="C359" s="59">
        <v>30</v>
      </c>
      <c r="D359" s="59">
        <v>31</v>
      </c>
      <c r="E359" s="59">
        <v>30</v>
      </c>
      <c r="F359" s="59">
        <v>31</v>
      </c>
      <c r="G359" s="59">
        <v>31</v>
      </c>
      <c r="H359" s="59">
        <v>30</v>
      </c>
      <c r="I359" s="59">
        <v>31</v>
      </c>
      <c r="J359" s="59">
        <v>30</v>
      </c>
      <c r="K359" s="59">
        <v>31</v>
      </c>
      <c r="L359" s="59">
        <v>31</v>
      </c>
      <c r="M359" s="59">
        <v>28</v>
      </c>
      <c r="N359" s="59">
        <v>31</v>
      </c>
      <c r="O359" s="12">
        <f>SUM(C359:N359)</f>
        <v>365</v>
      </c>
    </row>
    <row r="361" spans="2:15" ht="13" x14ac:dyDescent="0.3">
      <c r="B361" s="3" t="s">
        <v>142</v>
      </c>
    </row>
    <row r="363" spans="2:15" ht="13" x14ac:dyDescent="0.3">
      <c r="C363" s="52" t="s">
        <v>64</v>
      </c>
      <c r="D363" s="52" t="s">
        <v>65</v>
      </c>
      <c r="E363" s="52" t="s">
        <v>66</v>
      </c>
      <c r="F363" s="52" t="s">
        <v>67</v>
      </c>
      <c r="G363" s="52" t="s">
        <v>68</v>
      </c>
      <c r="H363" s="52" t="s">
        <v>69</v>
      </c>
      <c r="I363" s="52" t="s">
        <v>70</v>
      </c>
      <c r="J363" s="52" t="s">
        <v>71</v>
      </c>
      <c r="K363" s="52" t="s">
        <v>72</v>
      </c>
      <c r="L363" s="52" t="s">
        <v>60</v>
      </c>
      <c r="M363" s="52" t="s">
        <v>61</v>
      </c>
      <c r="N363" s="52" t="s">
        <v>62</v>
      </c>
      <c r="O363" s="52" t="s">
        <v>3</v>
      </c>
    </row>
    <row r="365" spans="2:15" ht="13" x14ac:dyDescent="0.3">
      <c r="B365" s="3" t="s">
        <v>125</v>
      </c>
      <c r="C365" s="59"/>
      <c r="D365" s="59"/>
      <c r="E365" s="59"/>
      <c r="F365" s="59"/>
      <c r="G365" s="59"/>
      <c r="H365" s="59"/>
      <c r="I365" s="59"/>
      <c r="J365" s="59"/>
      <c r="K365" s="59"/>
      <c r="L365" s="59">
        <v>0</v>
      </c>
      <c r="M365" s="59">
        <v>0</v>
      </c>
      <c r="N365" s="59">
        <v>0</v>
      </c>
      <c r="O365" s="12">
        <f>SUM(L365:N365)</f>
        <v>0</v>
      </c>
    </row>
    <row r="366" spans="2:15" ht="13" x14ac:dyDescent="0.3">
      <c r="B366" s="3" t="s">
        <v>126</v>
      </c>
      <c r="C366" s="59">
        <v>1</v>
      </c>
      <c r="D366" s="59">
        <v>0</v>
      </c>
      <c r="E366" s="59">
        <v>0</v>
      </c>
      <c r="F366" s="59">
        <v>0</v>
      </c>
      <c r="G366" s="59">
        <v>0</v>
      </c>
      <c r="H366" s="59">
        <v>0</v>
      </c>
      <c r="I366" s="59">
        <v>0</v>
      </c>
      <c r="J366" s="59">
        <v>1</v>
      </c>
      <c r="K366" s="59">
        <v>0</v>
      </c>
      <c r="L366" s="59">
        <v>12</v>
      </c>
      <c r="M366" s="59">
        <v>1</v>
      </c>
      <c r="N366" s="59">
        <v>0</v>
      </c>
      <c r="O366" s="12">
        <f>SUM(C366:N366)</f>
        <v>15</v>
      </c>
    </row>
    <row r="367" spans="2:15" ht="13" x14ac:dyDescent="0.3">
      <c r="B367" s="3" t="s">
        <v>127</v>
      </c>
      <c r="C367" s="59">
        <v>1</v>
      </c>
      <c r="D367" s="59">
        <v>0</v>
      </c>
      <c r="E367" s="59">
        <v>0</v>
      </c>
      <c r="F367" s="59">
        <v>0</v>
      </c>
      <c r="G367" s="59">
        <v>0</v>
      </c>
      <c r="H367" s="59">
        <v>0</v>
      </c>
      <c r="I367" s="59">
        <v>0</v>
      </c>
      <c r="J367" s="59">
        <v>1</v>
      </c>
      <c r="K367" s="59">
        <v>0</v>
      </c>
      <c r="L367" s="59">
        <v>13</v>
      </c>
      <c r="M367" s="59">
        <v>1</v>
      </c>
      <c r="N367" s="59">
        <v>0</v>
      </c>
      <c r="O367" s="12">
        <f>SUM(C367:N367)</f>
        <v>16</v>
      </c>
    </row>
    <row r="368" spans="2:15" ht="13" x14ac:dyDescent="0.3">
      <c r="B368" s="3" t="s">
        <v>128</v>
      </c>
      <c r="C368" s="59">
        <v>1</v>
      </c>
      <c r="D368" s="59">
        <v>0</v>
      </c>
      <c r="E368" s="59">
        <v>0</v>
      </c>
      <c r="F368" s="59">
        <v>0</v>
      </c>
      <c r="G368" s="59">
        <v>0</v>
      </c>
      <c r="H368" s="59">
        <v>0</v>
      </c>
      <c r="I368" s="59">
        <v>0</v>
      </c>
      <c r="J368" s="59">
        <v>1</v>
      </c>
      <c r="K368" s="59">
        <v>0</v>
      </c>
      <c r="L368" s="59">
        <v>12</v>
      </c>
      <c r="M368" s="59">
        <v>1</v>
      </c>
      <c r="N368" s="59">
        <v>0</v>
      </c>
      <c r="O368" s="12">
        <f>SUM(C368:N368)</f>
        <v>15</v>
      </c>
    </row>
    <row r="369" spans="1:15" ht="13" x14ac:dyDescent="0.3">
      <c r="B369" s="3" t="s">
        <v>130</v>
      </c>
      <c r="C369" s="59">
        <v>1</v>
      </c>
      <c r="D369" s="59">
        <v>0</v>
      </c>
      <c r="E369" s="59">
        <v>0</v>
      </c>
      <c r="F369" s="59">
        <v>0</v>
      </c>
      <c r="G369" s="59">
        <v>0</v>
      </c>
      <c r="H369" s="59">
        <v>0</v>
      </c>
      <c r="I369" s="59">
        <v>0</v>
      </c>
      <c r="J369" s="59">
        <v>1</v>
      </c>
      <c r="K369" s="59">
        <v>0</v>
      </c>
      <c r="L369" s="59">
        <v>12</v>
      </c>
      <c r="M369" s="59">
        <v>1</v>
      </c>
      <c r="N369" s="59">
        <v>0</v>
      </c>
      <c r="O369" s="12">
        <f>SUM(C369:N369)</f>
        <v>15</v>
      </c>
    </row>
    <row r="371" spans="1:15" ht="13" x14ac:dyDescent="0.3">
      <c r="B371" s="3" t="s">
        <v>143</v>
      </c>
    </row>
    <row r="373" spans="1:15" ht="13" x14ac:dyDescent="0.3">
      <c r="C373" s="52" t="s">
        <v>64</v>
      </c>
      <c r="D373" s="52" t="s">
        <v>65</v>
      </c>
      <c r="E373" s="52" t="s">
        <v>66</v>
      </c>
      <c r="F373" s="52" t="s">
        <v>67</v>
      </c>
      <c r="G373" s="52" t="s">
        <v>68</v>
      </c>
      <c r="H373" s="52" t="s">
        <v>69</v>
      </c>
      <c r="I373" s="52" t="s">
        <v>70</v>
      </c>
      <c r="J373" s="52" t="s">
        <v>71</v>
      </c>
      <c r="K373" s="52" t="s">
        <v>72</v>
      </c>
      <c r="L373" s="52" t="s">
        <v>60</v>
      </c>
      <c r="M373" s="52" t="s">
        <v>61</v>
      </c>
      <c r="N373" s="52" t="s">
        <v>62</v>
      </c>
      <c r="O373" s="52" t="s">
        <v>3</v>
      </c>
    </row>
    <row r="375" spans="1:15" ht="13" x14ac:dyDescent="0.3">
      <c r="B375" s="3" t="s">
        <v>125</v>
      </c>
      <c r="C375" s="59"/>
      <c r="D375" s="59"/>
      <c r="E375" s="59"/>
      <c r="F375" s="59"/>
      <c r="G375" s="59"/>
      <c r="H375" s="59"/>
      <c r="I375" s="59"/>
      <c r="J375" s="59"/>
      <c r="K375" s="59"/>
      <c r="L375" s="59">
        <f t="shared" ref="L375:N379" si="28">L355-L365</f>
        <v>11</v>
      </c>
      <c r="M375" s="59">
        <f t="shared" si="28"/>
        <v>28</v>
      </c>
      <c r="N375" s="59">
        <f t="shared" si="28"/>
        <v>31</v>
      </c>
      <c r="O375" s="12">
        <f>SUM(L375:N375)</f>
        <v>70</v>
      </c>
    </row>
    <row r="376" spans="1:15" ht="13" x14ac:dyDescent="0.3">
      <c r="B376" s="3" t="s">
        <v>126</v>
      </c>
      <c r="C376" s="59">
        <f t="shared" ref="C376:K376" si="29">C356-C366</f>
        <v>29</v>
      </c>
      <c r="D376" s="59">
        <f t="shared" si="29"/>
        <v>31</v>
      </c>
      <c r="E376" s="59">
        <f t="shared" si="29"/>
        <v>30</v>
      </c>
      <c r="F376" s="59">
        <f t="shared" si="29"/>
        <v>31</v>
      </c>
      <c r="G376" s="59">
        <f t="shared" si="29"/>
        <v>31</v>
      </c>
      <c r="H376" s="59">
        <f t="shared" si="29"/>
        <v>30</v>
      </c>
      <c r="I376" s="59">
        <f t="shared" si="29"/>
        <v>31</v>
      </c>
      <c r="J376" s="59">
        <f t="shared" si="29"/>
        <v>29</v>
      </c>
      <c r="K376" s="59">
        <f t="shared" si="29"/>
        <v>31</v>
      </c>
      <c r="L376" s="59">
        <f t="shared" si="28"/>
        <v>19</v>
      </c>
      <c r="M376" s="59">
        <f t="shared" si="28"/>
        <v>27</v>
      </c>
      <c r="N376" s="59">
        <f t="shared" si="28"/>
        <v>31</v>
      </c>
      <c r="O376" s="12">
        <f>SUM(C376:N376)</f>
        <v>350</v>
      </c>
    </row>
    <row r="377" spans="1:15" ht="13" x14ac:dyDescent="0.3">
      <c r="B377" s="3" t="s">
        <v>127</v>
      </c>
      <c r="C377" s="59">
        <f t="shared" ref="C377:K377" si="30">C357-C367</f>
        <v>29</v>
      </c>
      <c r="D377" s="59">
        <f t="shared" si="30"/>
        <v>31</v>
      </c>
      <c r="E377" s="59">
        <f t="shared" si="30"/>
        <v>30</v>
      </c>
      <c r="F377" s="59">
        <f t="shared" si="30"/>
        <v>31</v>
      </c>
      <c r="G377" s="59">
        <f t="shared" si="30"/>
        <v>31</v>
      </c>
      <c r="H377" s="59">
        <f t="shared" si="30"/>
        <v>30</v>
      </c>
      <c r="I377" s="59">
        <f t="shared" si="30"/>
        <v>31</v>
      </c>
      <c r="J377" s="59">
        <f t="shared" si="30"/>
        <v>29</v>
      </c>
      <c r="K377" s="59">
        <f t="shared" si="30"/>
        <v>31</v>
      </c>
      <c r="L377" s="59">
        <f t="shared" si="28"/>
        <v>18</v>
      </c>
      <c r="M377" s="59">
        <f t="shared" si="28"/>
        <v>28</v>
      </c>
      <c r="N377" s="59">
        <f t="shared" si="28"/>
        <v>31</v>
      </c>
      <c r="O377" s="12">
        <f>SUM(C377:N377)</f>
        <v>350</v>
      </c>
    </row>
    <row r="378" spans="1:15" ht="13" x14ac:dyDescent="0.3">
      <c r="B378" s="3" t="s">
        <v>128</v>
      </c>
      <c r="C378" s="59">
        <f t="shared" ref="C378:K378" si="31">C358-C368</f>
        <v>29</v>
      </c>
      <c r="D378" s="59">
        <f t="shared" si="31"/>
        <v>31</v>
      </c>
      <c r="E378" s="59">
        <f t="shared" si="31"/>
        <v>30</v>
      </c>
      <c r="F378" s="59">
        <f t="shared" si="31"/>
        <v>31</v>
      </c>
      <c r="G378" s="59">
        <f t="shared" si="31"/>
        <v>31</v>
      </c>
      <c r="H378" s="59">
        <f t="shared" si="31"/>
        <v>30</v>
      </c>
      <c r="I378" s="59">
        <f t="shared" si="31"/>
        <v>31</v>
      </c>
      <c r="J378" s="59">
        <f t="shared" si="31"/>
        <v>29</v>
      </c>
      <c r="K378" s="59">
        <f t="shared" si="31"/>
        <v>31</v>
      </c>
      <c r="L378" s="59">
        <f t="shared" si="28"/>
        <v>19</v>
      </c>
      <c r="M378" s="59">
        <f t="shared" si="28"/>
        <v>27</v>
      </c>
      <c r="N378" s="59">
        <f t="shared" si="28"/>
        <v>31</v>
      </c>
      <c r="O378" s="12">
        <f>SUM(C378:N378)</f>
        <v>350</v>
      </c>
    </row>
    <row r="379" spans="1:15" ht="13" x14ac:dyDescent="0.3">
      <c r="B379" s="3" t="s">
        <v>130</v>
      </c>
      <c r="C379" s="59">
        <f t="shared" ref="C379:K379" si="32">C359-C369</f>
        <v>29</v>
      </c>
      <c r="D379" s="59">
        <f t="shared" si="32"/>
        <v>31</v>
      </c>
      <c r="E379" s="59">
        <f t="shared" si="32"/>
        <v>30</v>
      </c>
      <c r="F379" s="59">
        <f t="shared" si="32"/>
        <v>31</v>
      </c>
      <c r="G379" s="59">
        <f t="shared" si="32"/>
        <v>31</v>
      </c>
      <c r="H379" s="59">
        <f t="shared" si="32"/>
        <v>30</v>
      </c>
      <c r="I379" s="59">
        <f t="shared" si="32"/>
        <v>31</v>
      </c>
      <c r="J379" s="59">
        <f t="shared" si="32"/>
        <v>29</v>
      </c>
      <c r="K379" s="59">
        <f t="shared" si="32"/>
        <v>31</v>
      </c>
      <c r="L379" s="59">
        <f t="shared" si="28"/>
        <v>19</v>
      </c>
      <c r="M379" s="59">
        <f t="shared" si="28"/>
        <v>27</v>
      </c>
      <c r="N379" s="59">
        <f t="shared" si="28"/>
        <v>31</v>
      </c>
      <c r="O379" s="12">
        <f>SUM(C379:N379)</f>
        <v>350</v>
      </c>
    </row>
    <row r="381" spans="1:15" ht="13" x14ac:dyDescent="0.3">
      <c r="A381" s="50" t="s">
        <v>152</v>
      </c>
    </row>
    <row r="383" spans="1:15" ht="13" x14ac:dyDescent="0.3">
      <c r="C383" s="52" t="s">
        <v>64</v>
      </c>
      <c r="D383" s="52" t="s">
        <v>65</v>
      </c>
      <c r="E383" s="52" t="s">
        <v>66</v>
      </c>
      <c r="F383" s="52" t="s">
        <v>67</v>
      </c>
      <c r="G383" s="52" t="s">
        <v>68</v>
      </c>
      <c r="H383" s="52" t="s">
        <v>69</v>
      </c>
      <c r="I383" s="52" t="s">
        <v>70</v>
      </c>
      <c r="J383" s="52" t="s">
        <v>71</v>
      </c>
      <c r="K383" s="52" t="s">
        <v>72</v>
      </c>
      <c r="L383" s="52" t="s">
        <v>60</v>
      </c>
      <c r="M383" s="52" t="s">
        <v>61</v>
      </c>
      <c r="N383" s="52" t="s">
        <v>62</v>
      </c>
    </row>
    <row r="385" spans="2:14" ht="13" x14ac:dyDescent="0.3">
      <c r="B385" s="3" t="s">
        <v>125</v>
      </c>
      <c r="C385" s="59"/>
      <c r="D385" s="59"/>
      <c r="E385" s="59"/>
      <c r="F385" s="59"/>
      <c r="G385" s="59"/>
      <c r="H385" s="59"/>
      <c r="I385" s="59"/>
      <c r="J385" s="59"/>
      <c r="K385" s="59"/>
      <c r="L385" s="59">
        <v>15</v>
      </c>
      <c r="M385" s="59">
        <v>15</v>
      </c>
      <c r="N385" s="59">
        <v>15</v>
      </c>
    </row>
    <row r="386" spans="2:14" ht="13" x14ac:dyDescent="0.3">
      <c r="B386" s="3" t="s">
        <v>126</v>
      </c>
      <c r="C386" s="59">
        <v>15</v>
      </c>
      <c r="D386" s="59">
        <v>15</v>
      </c>
      <c r="E386" s="59">
        <v>15</v>
      </c>
      <c r="F386" s="59">
        <v>15</v>
      </c>
      <c r="G386" s="59">
        <v>15</v>
      </c>
      <c r="H386" s="59">
        <v>15</v>
      </c>
      <c r="I386" s="59">
        <v>15</v>
      </c>
      <c r="J386" s="59">
        <v>15</v>
      </c>
      <c r="K386" s="59">
        <v>15</v>
      </c>
      <c r="L386" s="59">
        <v>15</v>
      </c>
      <c r="M386" s="59">
        <v>15</v>
      </c>
      <c r="N386" s="59">
        <v>15</v>
      </c>
    </row>
    <row r="387" spans="2:14" ht="13" x14ac:dyDescent="0.3">
      <c r="B387" s="3" t="s">
        <v>127</v>
      </c>
      <c r="C387" s="59">
        <v>15</v>
      </c>
      <c r="D387" s="59">
        <v>15</v>
      </c>
      <c r="E387" s="59">
        <v>15</v>
      </c>
      <c r="F387" s="59">
        <v>15</v>
      </c>
      <c r="G387" s="59">
        <v>15</v>
      </c>
      <c r="H387" s="59">
        <v>15</v>
      </c>
      <c r="I387" s="59">
        <v>15</v>
      </c>
      <c r="J387" s="59">
        <v>15</v>
      </c>
      <c r="K387" s="59">
        <v>15</v>
      </c>
      <c r="L387" s="59">
        <v>15</v>
      </c>
      <c r="M387" s="59">
        <v>15</v>
      </c>
      <c r="N387" s="59">
        <v>15</v>
      </c>
    </row>
    <row r="388" spans="2:14" ht="13" x14ac:dyDescent="0.3">
      <c r="B388" s="3" t="s">
        <v>128</v>
      </c>
      <c r="C388" s="59">
        <v>15</v>
      </c>
      <c r="D388" s="59">
        <v>15</v>
      </c>
      <c r="E388" s="59">
        <v>15</v>
      </c>
      <c r="F388" s="59">
        <v>15</v>
      </c>
      <c r="G388" s="59">
        <v>15</v>
      </c>
      <c r="H388" s="59">
        <v>15</v>
      </c>
      <c r="I388" s="59">
        <v>15</v>
      </c>
      <c r="J388" s="59">
        <v>15</v>
      </c>
      <c r="K388" s="59">
        <v>15</v>
      </c>
      <c r="L388" s="59">
        <v>15</v>
      </c>
      <c r="M388" s="59">
        <v>15</v>
      </c>
      <c r="N388" s="59">
        <v>15</v>
      </c>
    </row>
    <row r="389" spans="2:14" ht="13" x14ac:dyDescent="0.3">
      <c r="B389" s="3" t="s">
        <v>130</v>
      </c>
      <c r="C389" s="59">
        <v>15</v>
      </c>
      <c r="D389" s="59">
        <v>15</v>
      </c>
      <c r="E389" s="59">
        <v>15</v>
      </c>
      <c r="F389" s="59">
        <v>15</v>
      </c>
      <c r="G389" s="59">
        <v>15</v>
      </c>
      <c r="H389" s="59">
        <v>15</v>
      </c>
      <c r="I389" s="59">
        <v>15</v>
      </c>
      <c r="J389" s="59">
        <v>15</v>
      </c>
      <c r="K389" s="59">
        <v>15</v>
      </c>
      <c r="L389" s="59">
        <v>15</v>
      </c>
      <c r="M389" s="59">
        <v>15</v>
      </c>
      <c r="N389" s="59">
        <v>15</v>
      </c>
    </row>
  </sheetData>
  <pageMargins left="0.74791666666666667" right="0.74791666666666667" top="0.98402777777777783" bottom="0.98402777777777783" header="0.51180555555555562" footer="0.51180555555555562"/>
  <pageSetup paperSize="9" firstPageNumber="0" fitToHeight="2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zoomScaleSheetLayoutView="75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9.08984375" defaultRowHeight="12.5" x14ac:dyDescent="0.25"/>
  <cols>
    <col min="1" max="1" width="2.453125" style="1" customWidth="1"/>
    <col min="2" max="2" width="28.81640625" style="1" customWidth="1"/>
    <col min="3" max="3" width="13" style="25" customWidth="1"/>
    <col min="4" max="4" width="13.26953125" style="25" customWidth="1"/>
    <col min="5" max="5" width="13.7265625" style="25" customWidth="1"/>
    <col min="6" max="6" width="3.7265625" style="1" customWidth="1"/>
    <col min="7" max="7" width="12.7265625" style="1" customWidth="1"/>
    <col min="8" max="16384" width="9.08984375" style="1"/>
  </cols>
  <sheetData>
    <row r="1" spans="1:7" ht="15.5" x14ac:dyDescent="0.35">
      <c r="A1" s="26" t="s">
        <v>240</v>
      </c>
      <c r="B1" s="27"/>
    </row>
    <row r="2" spans="1:7" ht="15.5" x14ac:dyDescent="0.35">
      <c r="A2" s="26" t="s">
        <v>153</v>
      </c>
      <c r="B2" s="27"/>
    </row>
    <row r="3" spans="1:7" ht="15.5" x14ac:dyDescent="0.35">
      <c r="A3" s="26" t="s">
        <v>154</v>
      </c>
      <c r="B3" s="27"/>
      <c r="E3" s="60"/>
    </row>
    <row r="5" spans="1:7" ht="13" x14ac:dyDescent="0.3">
      <c r="C5" s="8" t="s">
        <v>60</v>
      </c>
      <c r="D5" s="8" t="s">
        <v>61</v>
      </c>
      <c r="E5" s="8" t="s">
        <v>62</v>
      </c>
      <c r="G5" s="8" t="s">
        <v>3</v>
      </c>
    </row>
    <row r="6" spans="1:7" s="9" customFormat="1" ht="13" x14ac:dyDescent="0.3">
      <c r="C6" s="7">
        <v>2006</v>
      </c>
      <c r="D6" s="7">
        <v>2006</v>
      </c>
      <c r="E6" s="7">
        <v>2006</v>
      </c>
      <c r="G6" s="7">
        <v>2006</v>
      </c>
    </row>
    <row r="7" spans="1:7" ht="15.5" x14ac:dyDescent="0.35">
      <c r="A7" s="26" t="s">
        <v>155</v>
      </c>
    </row>
    <row r="8" spans="1:7" x14ac:dyDescent="0.25">
      <c r="B8" s="34" t="s">
        <v>156</v>
      </c>
      <c r="C8" s="25">
        <f>'Cashflow Workings'!C8</f>
        <v>0</v>
      </c>
      <c r="G8" s="1">
        <f t="shared" ref="G8:G15" si="0">SUM(C8:E8)</f>
        <v>0</v>
      </c>
    </row>
    <row r="9" spans="1:7" x14ac:dyDescent="0.25">
      <c r="B9" s="34" t="s">
        <v>157</v>
      </c>
      <c r="C9" s="25">
        <f>P_L!C8</f>
        <v>0</v>
      </c>
      <c r="D9" s="25">
        <f>P_L!D8</f>
        <v>0</v>
      </c>
      <c r="E9" s="25">
        <f>P_L!E8</f>
        <v>329000</v>
      </c>
      <c r="G9" s="1">
        <f t="shared" si="0"/>
        <v>329000</v>
      </c>
    </row>
    <row r="10" spans="1:7" x14ac:dyDescent="0.25">
      <c r="B10" s="34" t="s">
        <v>158</v>
      </c>
      <c r="C10" s="25">
        <f>C9*0.175</f>
        <v>0</v>
      </c>
      <c r="D10" s="25">
        <f>D9*0.175</f>
        <v>0</v>
      </c>
      <c r="E10" s="25">
        <f>E9*0.175</f>
        <v>57574.999999999993</v>
      </c>
      <c r="G10" s="1">
        <f t="shared" si="0"/>
        <v>57574.999999999993</v>
      </c>
    </row>
    <row r="11" spans="1:7" x14ac:dyDescent="0.25">
      <c r="B11" s="34" t="s">
        <v>159</v>
      </c>
      <c r="C11" s="25">
        <f>'P_L Workings'!C69</f>
        <v>0</v>
      </c>
      <c r="D11" s="25">
        <f>'P_L Workings'!D69</f>
        <v>0</v>
      </c>
      <c r="E11" s="25">
        <f>'P_L Workings'!E69</f>
        <v>2310</v>
      </c>
      <c r="G11" s="1">
        <f t="shared" si="0"/>
        <v>2310</v>
      </c>
    </row>
    <row r="12" spans="1:7" x14ac:dyDescent="0.25">
      <c r="B12" s="34" t="s">
        <v>160</v>
      </c>
      <c r="C12" s="25">
        <f>C11*0.175</f>
        <v>0</v>
      </c>
      <c r="D12" s="25">
        <f>D11*0.175</f>
        <v>0</v>
      </c>
      <c r="E12" s="25">
        <f>E11*0.175</f>
        <v>404.25</v>
      </c>
      <c r="G12" s="1">
        <f t="shared" si="0"/>
        <v>404.25</v>
      </c>
    </row>
    <row r="13" spans="1:7" x14ac:dyDescent="0.25">
      <c r="B13" s="34" t="s">
        <v>48</v>
      </c>
      <c r="C13" s="25">
        <f>'P_L Workings'!C74</f>
        <v>0</v>
      </c>
      <c r="D13" s="25">
        <f>'P_L Workings'!D74</f>
        <v>0</v>
      </c>
      <c r="E13" s="25">
        <f>'P_L Workings'!E74</f>
        <v>2000</v>
      </c>
      <c r="G13" s="1">
        <f t="shared" si="0"/>
        <v>2000</v>
      </c>
    </row>
    <row r="14" spans="1:7" x14ac:dyDescent="0.25">
      <c r="B14" s="34" t="s">
        <v>161</v>
      </c>
      <c r="G14" s="1">
        <f t="shared" si="0"/>
        <v>0</v>
      </c>
    </row>
    <row r="15" spans="1:7" x14ac:dyDescent="0.25">
      <c r="B15" s="34" t="s">
        <v>162</v>
      </c>
      <c r="D15" s="25">
        <f>'Cashflow Workings'!D16</f>
        <v>0</v>
      </c>
      <c r="E15" s="25">
        <f>'Cashflow Workings'!E16</f>
        <v>2800000</v>
      </c>
      <c r="G15" s="1">
        <f t="shared" si="0"/>
        <v>2800000</v>
      </c>
    </row>
    <row r="16" spans="1:7" s="2" customFormat="1" ht="13" x14ac:dyDescent="0.3">
      <c r="C16" s="35">
        <f>SUM(C8:C15)</f>
        <v>0</v>
      </c>
      <c r="D16" s="35">
        <f>SUM(D8:D15)</f>
        <v>0</v>
      </c>
      <c r="E16" s="35">
        <f>SUM(E8:E15)</f>
        <v>3191289.25</v>
      </c>
      <c r="G16" s="35">
        <f>SUM(G8:G15)</f>
        <v>3191289.25</v>
      </c>
    </row>
    <row r="18" spans="1:7" ht="15.5" x14ac:dyDescent="0.35">
      <c r="A18" s="26" t="s">
        <v>163</v>
      </c>
    </row>
    <row r="19" spans="1:7" ht="12.75" customHeight="1" x14ac:dyDescent="0.35">
      <c r="A19" s="26"/>
    </row>
    <row r="20" spans="1:7" ht="12.75" customHeight="1" x14ac:dyDescent="0.35">
      <c r="A20" s="26"/>
      <c r="B20" s="1" t="s">
        <v>164</v>
      </c>
      <c r="G20" s="1">
        <f t="shared" ref="G20:G35" si="1">SUM(C20:E20)</f>
        <v>0</v>
      </c>
    </row>
    <row r="21" spans="1:7" s="13" customFormat="1" ht="12.75" customHeight="1" x14ac:dyDescent="0.25">
      <c r="B21" s="61" t="s">
        <v>21</v>
      </c>
      <c r="C21" s="33">
        <f>'P_L Workings'!C84</f>
        <v>0</v>
      </c>
      <c r="D21" s="33">
        <f>'P_L Workings'!D84</f>
        <v>0</v>
      </c>
      <c r="E21" s="33">
        <f>'P_L Workings'!E84</f>
        <v>0</v>
      </c>
      <c r="G21" s="1">
        <f t="shared" si="1"/>
        <v>0</v>
      </c>
    </row>
    <row r="22" spans="1:7" s="13" customFormat="1" ht="12.75" customHeight="1" x14ac:dyDescent="0.25">
      <c r="B22" s="61" t="s">
        <v>165</v>
      </c>
      <c r="C22" s="62">
        <f>C21*0.175</f>
        <v>0</v>
      </c>
      <c r="D22" s="62">
        <f>D21*0.175</f>
        <v>0</v>
      </c>
      <c r="E22" s="62">
        <f>E21*0.175</f>
        <v>0</v>
      </c>
      <c r="G22" s="1">
        <f t="shared" si="1"/>
        <v>0</v>
      </c>
    </row>
    <row r="23" spans="1:7" ht="12.75" customHeight="1" x14ac:dyDescent="0.25">
      <c r="B23" s="63" t="s">
        <v>107</v>
      </c>
      <c r="C23" s="45">
        <f>'P_L Workings'!C91</f>
        <v>0</v>
      </c>
      <c r="D23" s="45">
        <f>'P_L Workings'!D91</f>
        <v>0</v>
      </c>
      <c r="E23" s="45">
        <f>'P_L Workings'!E91</f>
        <v>10357.142857142859</v>
      </c>
      <c r="G23" s="1">
        <f t="shared" si="1"/>
        <v>10357.142857142859</v>
      </c>
    </row>
    <row r="24" spans="1:7" ht="12.75" customHeight="1" x14ac:dyDescent="0.25">
      <c r="B24" s="61" t="s">
        <v>166</v>
      </c>
      <c r="C24" s="45">
        <f>C23*0.175*0.5</f>
        <v>0</v>
      </c>
      <c r="D24" s="45">
        <f>D23*0.175*0.5</f>
        <v>0</v>
      </c>
      <c r="E24" s="45">
        <f>E23*0.175*0.5</f>
        <v>906.25000000000011</v>
      </c>
      <c r="G24" s="1">
        <f t="shared" si="1"/>
        <v>906.25000000000011</v>
      </c>
    </row>
    <row r="25" spans="1:7" ht="12.75" customHeight="1" x14ac:dyDescent="0.25">
      <c r="B25" s="61" t="s">
        <v>167</v>
      </c>
      <c r="C25" s="45">
        <f>'P_L Workings'!C142</f>
        <v>0</v>
      </c>
      <c r="D25" s="45">
        <f>'P_L Workings'!D142</f>
        <v>0</v>
      </c>
      <c r="E25" s="45">
        <f>'P_L Workings'!E142</f>
        <v>296779.09794871794</v>
      </c>
      <c r="G25" s="1">
        <f t="shared" si="1"/>
        <v>296779.09794871794</v>
      </c>
    </row>
    <row r="26" spans="1:7" ht="12.75" customHeight="1" x14ac:dyDescent="0.25">
      <c r="B26" s="61" t="s">
        <v>168</v>
      </c>
      <c r="C26" s="45">
        <f>C25*0.1</f>
        <v>0</v>
      </c>
      <c r="D26" s="45">
        <f>D25*0.1</f>
        <v>0</v>
      </c>
      <c r="E26" s="45">
        <f>E25*0.1</f>
        <v>29677.909794871797</v>
      </c>
      <c r="G26" s="1">
        <f t="shared" si="1"/>
        <v>29677.909794871797</v>
      </c>
    </row>
    <row r="27" spans="1:7" ht="12.75" customHeight="1" x14ac:dyDescent="0.25">
      <c r="B27" s="61" t="s">
        <v>169</v>
      </c>
      <c r="C27" s="45">
        <f>'P_L Workings'!C149</f>
        <v>0</v>
      </c>
      <c r="D27" s="45">
        <f>'P_L Workings'!D149</f>
        <v>0</v>
      </c>
      <c r="E27" s="45">
        <f>'P_L Workings'!E149</f>
        <v>600000</v>
      </c>
      <c r="G27" s="1">
        <f t="shared" si="1"/>
        <v>600000</v>
      </c>
    </row>
    <row r="28" spans="1:7" ht="12.75" customHeight="1" x14ac:dyDescent="0.25">
      <c r="B28" s="61" t="s">
        <v>170</v>
      </c>
      <c r="C28" s="45">
        <f>C27*0.175</f>
        <v>0</v>
      </c>
      <c r="D28" s="45">
        <f>D27*0.175</f>
        <v>0</v>
      </c>
      <c r="E28" s="45">
        <f>E27*0.175</f>
        <v>105000</v>
      </c>
      <c r="G28" s="1">
        <f t="shared" si="1"/>
        <v>105000</v>
      </c>
    </row>
    <row r="29" spans="1:7" ht="12.75" customHeight="1" x14ac:dyDescent="0.25">
      <c r="B29" s="61" t="s">
        <v>171</v>
      </c>
      <c r="C29" s="45">
        <f>'P_L Workings'!C157</f>
        <v>0</v>
      </c>
      <c r="D29" s="45">
        <f>'P_L Workings'!D157</f>
        <v>0</v>
      </c>
      <c r="E29" s="45">
        <f>'P_L Workings'!E157</f>
        <v>27250</v>
      </c>
      <c r="G29" s="1">
        <f t="shared" si="1"/>
        <v>27250</v>
      </c>
    </row>
    <row r="30" spans="1:7" ht="12.75" customHeight="1" x14ac:dyDescent="0.25">
      <c r="B30" s="61" t="s">
        <v>172</v>
      </c>
      <c r="C30" s="45">
        <f>C29*0.175</f>
        <v>0</v>
      </c>
      <c r="D30" s="45">
        <f>D29*0.175</f>
        <v>0</v>
      </c>
      <c r="E30" s="45">
        <f>E29*0.175</f>
        <v>4768.75</v>
      </c>
      <c r="G30" s="1">
        <f t="shared" si="1"/>
        <v>4768.75</v>
      </c>
    </row>
    <row r="31" spans="1:7" ht="12.75" customHeight="1" x14ac:dyDescent="0.25">
      <c r="B31" s="61" t="s">
        <v>49</v>
      </c>
      <c r="C31" s="45">
        <f>'P_L Workings'!C163</f>
        <v>0</v>
      </c>
      <c r="D31" s="45">
        <f>'P_L Workings'!D163</f>
        <v>0</v>
      </c>
      <c r="E31" s="45">
        <f>'P_L Workings'!E163</f>
        <v>16000</v>
      </c>
      <c r="G31" s="1">
        <f t="shared" si="1"/>
        <v>16000</v>
      </c>
    </row>
    <row r="32" spans="1:7" ht="12.75" customHeight="1" x14ac:dyDescent="0.25">
      <c r="B32" s="61" t="s">
        <v>173</v>
      </c>
      <c r="C32" s="45">
        <f>'P_L Workings'!C170</f>
        <v>0</v>
      </c>
      <c r="D32" s="45">
        <f>'P_L Workings'!D170</f>
        <v>0</v>
      </c>
      <c r="E32" s="45">
        <f>'P_L Workings'!E170</f>
        <v>0</v>
      </c>
      <c r="G32" s="1">
        <f t="shared" si="1"/>
        <v>0</v>
      </c>
    </row>
    <row r="33" spans="1:7" ht="12.75" customHeight="1" x14ac:dyDescent="0.25">
      <c r="B33" s="61" t="s">
        <v>174</v>
      </c>
      <c r="C33" s="25">
        <f>'Bal Sheet Workings'!C10</f>
        <v>0</v>
      </c>
      <c r="D33" s="25">
        <f>'Bal Sheet Workings'!D10</f>
        <v>0</v>
      </c>
      <c r="E33" s="25">
        <f>'Bal Sheet Workings'!E10</f>
        <v>0</v>
      </c>
      <c r="G33" s="1">
        <f t="shared" si="1"/>
        <v>0</v>
      </c>
    </row>
    <row r="34" spans="1:7" ht="12.75" customHeight="1" x14ac:dyDescent="0.25">
      <c r="B34" s="61" t="s">
        <v>175</v>
      </c>
      <c r="C34" s="45"/>
      <c r="D34" s="45"/>
      <c r="E34" s="45"/>
      <c r="G34" s="1">
        <f t="shared" si="1"/>
        <v>0</v>
      </c>
    </row>
    <row r="35" spans="1:7" ht="12.75" customHeight="1" x14ac:dyDescent="0.25">
      <c r="B35" s="61" t="s">
        <v>176</v>
      </c>
      <c r="C35" s="64">
        <f>C34*0.175</f>
        <v>0</v>
      </c>
      <c r="D35" s="64">
        <f>D34*0.175</f>
        <v>0</v>
      </c>
      <c r="E35" s="64">
        <f>E34*0.175</f>
        <v>0</v>
      </c>
      <c r="G35" s="65">
        <f t="shared" si="1"/>
        <v>0</v>
      </c>
    </row>
    <row r="36" spans="1:7" ht="12.75" customHeight="1" x14ac:dyDescent="0.3">
      <c r="B36" s="61"/>
      <c r="C36" s="66">
        <f>SUM(C20:C35)</f>
        <v>0</v>
      </c>
      <c r="D36" s="66">
        <f>SUM(D20:D35)</f>
        <v>0</v>
      </c>
      <c r="E36" s="66">
        <f>SUM(E20:E35)</f>
        <v>1090739.1506007325</v>
      </c>
      <c r="G36" s="66">
        <f>SUM(G20:G35)</f>
        <v>1090739.1506007325</v>
      </c>
    </row>
    <row r="37" spans="1:7" ht="12.75" customHeight="1" x14ac:dyDescent="0.25">
      <c r="B37" s="61"/>
      <c r="C37" s="45"/>
      <c r="D37" s="45"/>
      <c r="E37" s="45"/>
    </row>
    <row r="38" spans="1:7" ht="12.75" customHeight="1" x14ac:dyDescent="0.25">
      <c r="B38" s="61" t="s">
        <v>177</v>
      </c>
      <c r="C38" s="45">
        <f>--'Bal Sheet Workings'!C9</f>
        <v>0</v>
      </c>
      <c r="D38" s="45">
        <f>-'Bal Sheet Workings'!D9</f>
        <v>0</v>
      </c>
      <c r="E38" s="45">
        <f>-'Bal Sheet Workings'!E9</f>
        <v>0</v>
      </c>
      <c r="G38" s="1">
        <f>SUM(C38:E38)</f>
        <v>0</v>
      </c>
    </row>
    <row r="39" spans="1:7" ht="12.75" customHeight="1" x14ac:dyDescent="0.25">
      <c r="B39" s="61" t="s">
        <v>178</v>
      </c>
      <c r="G39" s="1">
        <f>SUM(C39:E39)</f>
        <v>0</v>
      </c>
    </row>
    <row r="40" spans="1:7" ht="12.75" customHeight="1" x14ac:dyDescent="0.25">
      <c r="B40" s="61" t="s">
        <v>179</v>
      </c>
      <c r="C40" s="25">
        <f>'Cashflow Workings'!C41</f>
        <v>0</v>
      </c>
      <c r="D40" s="25">
        <f>'Cashflow Workings'!D41</f>
        <v>0</v>
      </c>
      <c r="E40" s="25">
        <f>'Cashflow Workings'!E41</f>
        <v>0</v>
      </c>
      <c r="F40" s="25"/>
      <c r="G40" s="1">
        <f>SUM(C40:E40)</f>
        <v>0</v>
      </c>
    </row>
    <row r="41" spans="1:7" ht="12.75" customHeight="1" x14ac:dyDescent="0.25">
      <c r="B41" s="61" t="s">
        <v>180</v>
      </c>
      <c r="G41" s="1">
        <f>SUM(C41:E41)</f>
        <v>0</v>
      </c>
    </row>
    <row r="42" spans="1:7" ht="12.75" customHeight="1" x14ac:dyDescent="0.25">
      <c r="B42" s="61"/>
      <c r="C42" s="45"/>
      <c r="D42" s="45"/>
      <c r="E42" s="45"/>
    </row>
    <row r="43" spans="1:7" s="2" customFormat="1" ht="12.75" customHeight="1" x14ac:dyDescent="0.3">
      <c r="B43" s="16"/>
      <c r="C43" s="67">
        <f>SUM(C36:C42)</f>
        <v>0</v>
      </c>
      <c r="D43" s="67">
        <f>SUM(D36:D42)</f>
        <v>0</v>
      </c>
      <c r="E43" s="67">
        <f>SUM(E36:E42)</f>
        <v>1090739.1506007325</v>
      </c>
      <c r="G43" s="15">
        <f>SUM(G36:G41)</f>
        <v>1090739.1506007325</v>
      </c>
    </row>
    <row r="44" spans="1:7" ht="12.75" customHeight="1" x14ac:dyDescent="0.25">
      <c r="B44" s="61"/>
      <c r="C44" s="45"/>
      <c r="D44" s="45"/>
      <c r="E44" s="45"/>
    </row>
    <row r="45" spans="1:7" ht="15.75" customHeight="1" x14ac:dyDescent="0.35">
      <c r="A45" s="42" t="s">
        <v>181</v>
      </c>
      <c r="B45" s="61"/>
      <c r="C45" s="25">
        <f>C16-C43</f>
        <v>0</v>
      </c>
      <c r="D45" s="25">
        <f>D16-D43</f>
        <v>0</v>
      </c>
      <c r="E45" s="25">
        <f>E16-E43</f>
        <v>2100550.0993992677</v>
      </c>
      <c r="G45" s="1">
        <f>SUM(C45:E45)</f>
        <v>2100550.0993992677</v>
      </c>
    </row>
    <row r="46" spans="1:7" ht="12.75" customHeight="1" x14ac:dyDescent="0.25">
      <c r="B46" s="61"/>
      <c r="C46" s="45"/>
      <c r="D46" s="45"/>
      <c r="E46" s="45"/>
    </row>
    <row r="47" spans="1:7" ht="12.75" customHeight="1" x14ac:dyDescent="0.25">
      <c r="A47" s="1" t="s">
        <v>182</v>
      </c>
      <c r="B47" s="61"/>
      <c r="C47" s="25">
        <v>0</v>
      </c>
      <c r="D47" s="25">
        <f>C49</f>
        <v>0</v>
      </c>
      <c r="E47" s="25">
        <f>D49</f>
        <v>0</v>
      </c>
      <c r="G47" s="1">
        <f>C47</f>
        <v>0</v>
      </c>
    </row>
    <row r="48" spans="1:7" ht="12.75" customHeight="1" x14ac:dyDescent="0.25">
      <c r="B48" s="61"/>
      <c r="C48" s="45"/>
      <c r="D48" s="45"/>
      <c r="E48" s="45"/>
    </row>
    <row r="49" spans="1:7" ht="15" customHeight="1" x14ac:dyDescent="0.35">
      <c r="A49" s="42" t="s">
        <v>183</v>
      </c>
      <c r="C49" s="47">
        <f>C45+C47</f>
        <v>0</v>
      </c>
      <c r="D49" s="47">
        <f>D45+D47</f>
        <v>0</v>
      </c>
      <c r="E49" s="47">
        <f>E45+E47</f>
        <v>2100550.0993992677</v>
      </c>
      <c r="G49" s="47">
        <f>G45+G47</f>
        <v>2100550.0993992677</v>
      </c>
    </row>
    <row r="50" spans="1:7" ht="12.75" customHeight="1" x14ac:dyDescent="0.25"/>
    <row r="51" spans="1:7" ht="12.75" customHeight="1" x14ac:dyDescent="0.25"/>
    <row r="52" spans="1:7" ht="12.75" customHeight="1" x14ac:dyDescent="0.25"/>
    <row r="53" spans="1:7" ht="12.75" customHeight="1" x14ac:dyDescent="0.25"/>
    <row r="54" spans="1:7" ht="12.75" customHeight="1" x14ac:dyDescent="0.25"/>
    <row r="55" spans="1:7" ht="12.75" customHeight="1" x14ac:dyDescent="0.25"/>
    <row r="56" spans="1:7" ht="12.75" customHeight="1" x14ac:dyDescent="0.25"/>
    <row r="57" spans="1:7" ht="12.75" customHeight="1" x14ac:dyDescent="0.25"/>
    <row r="58" spans="1:7" ht="12.75" customHeight="1" x14ac:dyDescent="0.25"/>
    <row r="59" spans="1:7" ht="12.75" customHeight="1" x14ac:dyDescent="0.25"/>
    <row r="60" spans="1:7" ht="12.75" customHeight="1" x14ac:dyDescent="0.25"/>
    <row r="61" spans="1:7" ht="12.75" customHeight="1" x14ac:dyDescent="0.25"/>
    <row r="62" spans="1:7" ht="12.75" customHeight="1" x14ac:dyDescent="0.25"/>
    <row r="63" spans="1:7" ht="12.75" customHeight="1" x14ac:dyDescent="0.25"/>
    <row r="64" spans="1:7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2"/>
  <sheetViews>
    <sheetView zoomScaleSheetLayoutView="75" workbookViewId="0">
      <pane xSplit="2" ySplit="6" topLeftCell="I7" activePane="bottomRight" state="frozen"/>
      <selection pane="topRight" activeCell="I1" sqref="I1"/>
      <selection pane="bottomLeft" activeCell="A29" sqref="A29"/>
      <selection pane="bottomRight" activeCell="A2" sqref="A2"/>
    </sheetView>
  </sheetViews>
  <sheetFormatPr defaultColWidth="9.08984375" defaultRowHeight="13" x14ac:dyDescent="0.3"/>
  <cols>
    <col min="1" max="1" width="2.453125" style="1" customWidth="1"/>
    <col min="2" max="2" width="28.81640625" style="1" customWidth="1"/>
    <col min="3" max="3" width="13.54296875" style="25" customWidth="1"/>
    <col min="4" max="4" width="12.81640625" style="25" customWidth="1"/>
    <col min="5" max="6" width="13.08984375" style="25" customWidth="1"/>
    <col min="7" max="7" width="14.08984375" style="25" customWidth="1"/>
    <col min="8" max="8" width="13.54296875" style="25" customWidth="1"/>
    <col min="9" max="9" width="13.26953125" style="25" customWidth="1"/>
    <col min="10" max="10" width="12.81640625" style="25" customWidth="1"/>
    <col min="11" max="11" width="13.08984375" style="25" customWidth="1"/>
    <col min="12" max="12" width="12.54296875" style="25" customWidth="1"/>
    <col min="13" max="13" width="12.453125" style="25" customWidth="1"/>
    <col min="14" max="14" width="13.7265625" style="25" customWidth="1"/>
    <col min="15" max="15" width="3.7265625" style="1" customWidth="1"/>
    <col min="16" max="16" width="14.453125" style="2" customWidth="1"/>
    <col min="17" max="16384" width="9.08984375" style="1"/>
  </cols>
  <sheetData>
    <row r="1" spans="1:16" ht="15.5" x14ac:dyDescent="0.35">
      <c r="A1" s="26" t="s">
        <v>240</v>
      </c>
      <c r="B1" s="27"/>
    </row>
    <row r="2" spans="1:16" ht="15.5" x14ac:dyDescent="0.35">
      <c r="A2" s="26" t="s">
        <v>153</v>
      </c>
      <c r="B2" s="27"/>
    </row>
    <row r="3" spans="1:16" ht="15.5" x14ac:dyDescent="0.35">
      <c r="A3" s="26" t="s">
        <v>63</v>
      </c>
      <c r="B3" s="27"/>
    </row>
    <row r="5" spans="1:16" x14ac:dyDescent="0.3">
      <c r="C5" s="8" t="s">
        <v>64</v>
      </c>
      <c r="D5" s="8" t="s">
        <v>65</v>
      </c>
      <c r="E5" s="8" t="s">
        <v>66</v>
      </c>
      <c r="F5" s="8" t="s">
        <v>67</v>
      </c>
      <c r="G5" s="8" t="s">
        <v>68</v>
      </c>
      <c r="H5" s="8" t="s">
        <v>69</v>
      </c>
      <c r="I5" s="8" t="s">
        <v>70</v>
      </c>
      <c r="J5" s="8" t="s">
        <v>71</v>
      </c>
      <c r="K5" s="8" t="s">
        <v>72</v>
      </c>
      <c r="L5" s="8" t="s">
        <v>60</v>
      </c>
      <c r="M5" s="8" t="s">
        <v>61</v>
      </c>
      <c r="N5" s="8" t="s">
        <v>62</v>
      </c>
      <c r="P5" s="8" t="s">
        <v>3</v>
      </c>
    </row>
    <row r="6" spans="1:16" s="9" customFormat="1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2007</v>
      </c>
      <c r="M6" s="7">
        <v>2007</v>
      </c>
      <c r="N6" s="7">
        <v>2007</v>
      </c>
      <c r="P6" s="7">
        <v>2007</v>
      </c>
    </row>
    <row r="7" spans="1:16" ht="15.5" x14ac:dyDescent="0.35">
      <c r="A7" s="26" t="s">
        <v>155</v>
      </c>
    </row>
    <row r="8" spans="1:16" x14ac:dyDescent="0.3">
      <c r="B8" s="34" t="s">
        <v>156</v>
      </c>
      <c r="C8" s="25">
        <f>'Cashflow Workings'!E8</f>
        <v>100000</v>
      </c>
      <c r="P8" s="2">
        <f t="shared" ref="P8:P16" si="0">SUM(C8:N8)</f>
        <v>100000</v>
      </c>
    </row>
    <row r="9" spans="1:16" x14ac:dyDescent="0.3">
      <c r="B9" s="34" t="s">
        <v>157</v>
      </c>
      <c r="C9" s="25">
        <f>P_L!F8</f>
        <v>1390274.5</v>
      </c>
      <c r="D9" s="25">
        <f>P_L!G8</f>
        <v>1486155.5</v>
      </c>
      <c r="E9" s="25">
        <f>P_L!H8</f>
        <v>1523925</v>
      </c>
      <c r="F9" s="25">
        <f>P_L!I8</f>
        <v>1663289.5</v>
      </c>
      <c r="G9" s="25">
        <f>P_L!J8</f>
        <v>1663289.5</v>
      </c>
      <c r="H9" s="25">
        <f>P_L!K8</f>
        <v>1438215</v>
      </c>
      <c r="I9" s="25">
        <f>P_L!L8</f>
        <v>1486155.5</v>
      </c>
      <c r="J9" s="25">
        <f>P_L!M8</f>
        <v>1390274.5</v>
      </c>
      <c r="K9" s="25">
        <f>P_L!N8</f>
        <v>1512725.5999999999</v>
      </c>
      <c r="L9" s="25">
        <f>P_L!O8</f>
        <v>910869.5</v>
      </c>
      <c r="M9" s="25">
        <f>P_L!P8</f>
        <v>1294393.5</v>
      </c>
      <c r="N9" s="25">
        <f>P_L!Q8</f>
        <v>1486155.5</v>
      </c>
      <c r="P9" s="2">
        <f t="shared" si="0"/>
        <v>17245723.100000001</v>
      </c>
    </row>
    <row r="10" spans="1:16" x14ac:dyDescent="0.3">
      <c r="B10" s="34" t="s">
        <v>158</v>
      </c>
      <c r="C10" s="25">
        <f t="shared" ref="C10:N10" si="1">C9*0.175</f>
        <v>243298.03749999998</v>
      </c>
      <c r="D10" s="25">
        <f t="shared" si="1"/>
        <v>260077.21249999999</v>
      </c>
      <c r="E10" s="25">
        <f t="shared" si="1"/>
        <v>266686.875</v>
      </c>
      <c r="F10" s="25">
        <f t="shared" si="1"/>
        <v>291075.66249999998</v>
      </c>
      <c r="G10" s="25">
        <f t="shared" si="1"/>
        <v>291075.66249999998</v>
      </c>
      <c r="H10" s="25">
        <f t="shared" si="1"/>
        <v>251687.62499999997</v>
      </c>
      <c r="I10" s="25">
        <f t="shared" si="1"/>
        <v>260077.21249999999</v>
      </c>
      <c r="J10" s="25">
        <f t="shared" si="1"/>
        <v>243298.03749999998</v>
      </c>
      <c r="K10" s="25">
        <f t="shared" si="1"/>
        <v>264726.98</v>
      </c>
      <c r="L10" s="25">
        <f t="shared" si="1"/>
        <v>159402.16249999998</v>
      </c>
      <c r="M10" s="25">
        <f t="shared" si="1"/>
        <v>226518.86249999999</v>
      </c>
      <c r="N10" s="25">
        <f t="shared" si="1"/>
        <v>260077.21249999999</v>
      </c>
      <c r="P10" s="2">
        <f t="shared" si="0"/>
        <v>3018001.5425</v>
      </c>
    </row>
    <row r="11" spans="1:16" x14ac:dyDescent="0.3">
      <c r="B11" s="34" t="s">
        <v>159</v>
      </c>
      <c r="C11" s="25">
        <f>'P_L Workings'!F69</f>
        <v>9113.83</v>
      </c>
      <c r="D11" s="25">
        <f>'P_L Workings'!G69</f>
        <v>9742.369999999999</v>
      </c>
      <c r="E11" s="25">
        <f>'P_L Workings'!H69</f>
        <v>23570.250000000007</v>
      </c>
      <c r="F11" s="25">
        <f>'P_L Workings'!I69</f>
        <v>24355.925000000007</v>
      </c>
      <c r="G11" s="25">
        <f>'P_L Workings'!J69</f>
        <v>24355.925000000007</v>
      </c>
      <c r="H11" s="25">
        <f>'P_L Workings'!K69</f>
        <v>9428.0999999999985</v>
      </c>
      <c r="I11" s="25">
        <f>'P_L Workings'!L69</f>
        <v>9742.369999999999</v>
      </c>
      <c r="J11" s="25">
        <f>'P_L Workings'!M69</f>
        <v>9113.83</v>
      </c>
      <c r="K11" s="25">
        <f>'P_L Workings'!N69</f>
        <v>15587.791999999999</v>
      </c>
      <c r="L11" s="25">
        <f>'P_L Workings'!O69</f>
        <v>5971.1299999999992</v>
      </c>
      <c r="M11" s="25">
        <f>'P_L Workings'!P69</f>
        <v>8485.2899999999991</v>
      </c>
      <c r="N11" s="25">
        <f>'P_L Workings'!Q69</f>
        <v>9742.369999999999</v>
      </c>
      <c r="P11" s="2">
        <f t="shared" si="0"/>
        <v>159209.18200000003</v>
      </c>
    </row>
    <row r="12" spans="1:16" x14ac:dyDescent="0.3">
      <c r="B12" s="34" t="s">
        <v>160</v>
      </c>
      <c r="C12" s="25">
        <f t="shared" ref="C12:N12" si="2">C11*0.175</f>
        <v>1594.9202499999999</v>
      </c>
      <c r="D12" s="25">
        <f t="shared" si="2"/>
        <v>1704.9147499999997</v>
      </c>
      <c r="E12" s="25">
        <f t="shared" si="2"/>
        <v>4124.7937500000007</v>
      </c>
      <c r="F12" s="25">
        <f t="shared" si="2"/>
        <v>4262.2868750000007</v>
      </c>
      <c r="G12" s="25">
        <f t="shared" si="2"/>
        <v>4262.2868750000007</v>
      </c>
      <c r="H12" s="25">
        <f t="shared" si="2"/>
        <v>1649.9174999999996</v>
      </c>
      <c r="I12" s="25">
        <f t="shared" si="2"/>
        <v>1704.9147499999997</v>
      </c>
      <c r="J12" s="25">
        <f t="shared" si="2"/>
        <v>1594.9202499999999</v>
      </c>
      <c r="K12" s="25">
        <f t="shared" si="2"/>
        <v>2727.8635999999997</v>
      </c>
      <c r="L12" s="25">
        <f t="shared" si="2"/>
        <v>1044.9477499999998</v>
      </c>
      <c r="M12" s="25">
        <f t="shared" si="2"/>
        <v>1484.9257499999997</v>
      </c>
      <c r="N12" s="25">
        <f t="shared" si="2"/>
        <v>1704.9147499999997</v>
      </c>
      <c r="P12" s="2">
        <f t="shared" si="0"/>
        <v>27861.60685</v>
      </c>
    </row>
    <row r="13" spans="1:16" x14ac:dyDescent="0.3">
      <c r="B13" s="34" t="s">
        <v>48</v>
      </c>
      <c r="C13" s="25">
        <f>'P_L Workings'!F74</f>
        <v>20300</v>
      </c>
      <c r="D13" s="25">
        <f>'P_L Workings'!G74</f>
        <v>21700</v>
      </c>
      <c r="E13" s="25">
        <f>'P_L Workings'!H74</f>
        <v>21000</v>
      </c>
      <c r="F13" s="25">
        <f>'P_L Workings'!I74</f>
        <v>21700</v>
      </c>
      <c r="G13" s="25">
        <f>'P_L Workings'!J74</f>
        <v>21700</v>
      </c>
      <c r="H13" s="25">
        <f>'P_L Workings'!K74</f>
        <v>21000</v>
      </c>
      <c r="I13" s="25">
        <f>'P_L Workings'!L74</f>
        <v>21700</v>
      </c>
      <c r="J13" s="25">
        <f>'P_L Workings'!M74</f>
        <v>20300</v>
      </c>
      <c r="K13" s="25">
        <f>'P_L Workings'!N74</f>
        <v>21700</v>
      </c>
      <c r="L13" s="25">
        <f>'P_L Workings'!O74</f>
        <v>13300</v>
      </c>
      <c r="M13" s="25">
        <f>'P_L Workings'!P74</f>
        <v>18900</v>
      </c>
      <c r="N13" s="25">
        <f>'P_L Workings'!Q74</f>
        <v>21700</v>
      </c>
      <c r="P13" s="2">
        <f t="shared" si="0"/>
        <v>245000</v>
      </c>
    </row>
    <row r="14" spans="1:16" x14ac:dyDescent="0.3">
      <c r="B14" s="34" t="s">
        <v>184</v>
      </c>
      <c r="C14" s="25">
        <f>'Cashflow Workings'!F14</f>
        <v>3552.5</v>
      </c>
      <c r="D14" s="25">
        <f>'Cashflow Workings'!G14</f>
        <v>3797.4999999999995</v>
      </c>
      <c r="E14" s="25">
        <f>'Cashflow Workings'!H14</f>
        <v>3674.9999999999995</v>
      </c>
      <c r="F14" s="25">
        <f>'Cashflow Workings'!I14</f>
        <v>3797.4999999999995</v>
      </c>
      <c r="G14" s="25">
        <f>'Cashflow Workings'!J14</f>
        <v>3797.4999999999995</v>
      </c>
      <c r="H14" s="25">
        <f>'Cashflow Workings'!K14</f>
        <v>3674.9999999999995</v>
      </c>
      <c r="I14" s="25">
        <f>'Cashflow Workings'!L14</f>
        <v>3797.4999999999995</v>
      </c>
      <c r="J14" s="25">
        <f>'Cashflow Workings'!M14</f>
        <v>3552.5</v>
      </c>
      <c r="K14" s="25">
        <f>'Cashflow Workings'!N14</f>
        <v>3797.4999999999995</v>
      </c>
      <c r="L14" s="25">
        <f>'Cashflow Workings'!O14</f>
        <v>2327.5</v>
      </c>
      <c r="M14" s="25">
        <f>'Cashflow Workings'!P14</f>
        <v>3307.5</v>
      </c>
      <c r="N14" s="25">
        <f>'Cashflow Workings'!Q14</f>
        <v>3797.4999999999995</v>
      </c>
      <c r="P14" s="2">
        <f t="shared" si="0"/>
        <v>42875</v>
      </c>
    </row>
    <row r="15" spans="1:16" x14ac:dyDescent="0.3">
      <c r="B15" s="34" t="s">
        <v>161</v>
      </c>
      <c r="P15" s="2">
        <f t="shared" si="0"/>
        <v>0</v>
      </c>
    </row>
    <row r="16" spans="1:16" x14ac:dyDescent="0.3">
      <c r="B16" s="34" t="s">
        <v>162</v>
      </c>
      <c r="C16" s="25">
        <f>'Cashflow Workings'!E16</f>
        <v>2800000</v>
      </c>
      <c r="P16" s="2">
        <f t="shared" si="0"/>
        <v>2800000</v>
      </c>
    </row>
    <row r="17" spans="1:16" s="2" customFormat="1" x14ac:dyDescent="0.3">
      <c r="C17" s="35">
        <f t="shared" ref="C17:N17" si="3">SUM(C8:C16)</f>
        <v>4568133.7877500001</v>
      </c>
      <c r="D17" s="35">
        <f t="shared" si="3"/>
        <v>1783177.49725</v>
      </c>
      <c r="E17" s="35">
        <f t="shared" si="3"/>
        <v>1842981.91875</v>
      </c>
      <c r="F17" s="35">
        <f t="shared" si="3"/>
        <v>2008480.8743750001</v>
      </c>
      <c r="G17" s="35">
        <f t="shared" si="3"/>
        <v>2008480.8743750001</v>
      </c>
      <c r="H17" s="35">
        <f t="shared" si="3"/>
        <v>1725655.6425000001</v>
      </c>
      <c r="I17" s="35">
        <f t="shared" si="3"/>
        <v>1783177.49725</v>
      </c>
      <c r="J17" s="35">
        <f t="shared" si="3"/>
        <v>1668133.7877500001</v>
      </c>
      <c r="K17" s="35">
        <f t="shared" si="3"/>
        <v>1821265.7355999998</v>
      </c>
      <c r="L17" s="35">
        <f t="shared" si="3"/>
        <v>1092915.24025</v>
      </c>
      <c r="M17" s="35">
        <f t="shared" si="3"/>
        <v>1553090.07825</v>
      </c>
      <c r="N17" s="35">
        <f t="shared" si="3"/>
        <v>1783177.49725</v>
      </c>
      <c r="P17" s="35">
        <f>SUM(P8:P16)</f>
        <v>23638670.43135</v>
      </c>
    </row>
    <row r="19" spans="1:16" ht="15.5" x14ac:dyDescent="0.35">
      <c r="A19" s="26" t="s">
        <v>163</v>
      </c>
    </row>
    <row r="20" spans="1:16" ht="12.75" customHeight="1" x14ac:dyDescent="0.35">
      <c r="A20" s="26"/>
    </row>
    <row r="21" spans="1:16" ht="12.75" customHeight="1" x14ac:dyDescent="0.35">
      <c r="A21" s="26"/>
      <c r="B21" s="1" t="s">
        <v>164</v>
      </c>
      <c r="C21" s="25">
        <f>'Cashflow Workings'!F21</f>
        <v>0</v>
      </c>
      <c r="P21" s="2">
        <f t="shared" ref="P21:P36" si="4">SUM(C21:N21)</f>
        <v>0</v>
      </c>
    </row>
    <row r="22" spans="1:16" s="13" customFormat="1" ht="12.75" customHeight="1" x14ac:dyDescent="0.3">
      <c r="B22" s="61" t="s">
        <v>21</v>
      </c>
      <c r="C22" s="25">
        <f>'Cashflow Workings'!F22</f>
        <v>0</v>
      </c>
      <c r="D22" s="25">
        <f>'Cashflow Workings'!G22</f>
        <v>0</v>
      </c>
      <c r="E22" s="25">
        <f>'Cashflow Workings'!H22</f>
        <v>0</v>
      </c>
      <c r="F22" s="25">
        <f>'Cashflow Workings'!I22</f>
        <v>0</v>
      </c>
      <c r="G22" s="25">
        <f>'Cashflow Workings'!J22</f>
        <v>0</v>
      </c>
      <c r="H22" s="25">
        <f>'Cashflow Workings'!K22</f>
        <v>0</v>
      </c>
      <c r="I22" s="25">
        <f>'Cashflow Workings'!L22</f>
        <v>0</v>
      </c>
      <c r="J22" s="25">
        <f>'Cashflow Workings'!M22</f>
        <v>0</v>
      </c>
      <c r="K22" s="25">
        <f>'Cashflow Workings'!N22</f>
        <v>0</v>
      </c>
      <c r="L22" s="25">
        <f>'Cashflow Workings'!O22</f>
        <v>0</v>
      </c>
      <c r="M22" s="25">
        <f>'Cashflow Workings'!P22</f>
        <v>0</v>
      </c>
      <c r="N22" s="25">
        <f>'Cashflow Workings'!Q22</f>
        <v>0</v>
      </c>
      <c r="P22" s="2">
        <f t="shared" si="4"/>
        <v>0</v>
      </c>
    </row>
    <row r="23" spans="1:16" s="13" customFormat="1" ht="12.75" customHeight="1" x14ac:dyDescent="0.3">
      <c r="B23" s="61" t="s">
        <v>165</v>
      </c>
      <c r="C23" s="25">
        <f>'Cashflow Workings'!F23</f>
        <v>0</v>
      </c>
      <c r="D23" s="25">
        <f>'Cashflow Workings'!G23</f>
        <v>0</v>
      </c>
      <c r="E23" s="25">
        <f>'Cashflow Workings'!H23</f>
        <v>0</v>
      </c>
      <c r="F23" s="25">
        <f>'Cashflow Workings'!I23</f>
        <v>0</v>
      </c>
      <c r="G23" s="25">
        <f>'Cashflow Workings'!J23</f>
        <v>0</v>
      </c>
      <c r="H23" s="25">
        <f>'Cashflow Workings'!K23</f>
        <v>0</v>
      </c>
      <c r="I23" s="25">
        <f>'Cashflow Workings'!L23</f>
        <v>0</v>
      </c>
      <c r="J23" s="25">
        <f>'Cashflow Workings'!M23</f>
        <v>0</v>
      </c>
      <c r="K23" s="25">
        <f>'Cashflow Workings'!N23</f>
        <v>0</v>
      </c>
      <c r="L23" s="25">
        <f>'Cashflow Workings'!O23</f>
        <v>0</v>
      </c>
      <c r="M23" s="25">
        <f>'Cashflow Workings'!P23</f>
        <v>0</v>
      </c>
      <c r="N23" s="25">
        <f>'Cashflow Workings'!Q23</f>
        <v>0</v>
      </c>
      <c r="P23" s="2">
        <f t="shared" si="4"/>
        <v>0</v>
      </c>
    </row>
    <row r="24" spans="1:16" ht="12.75" customHeight="1" x14ac:dyDescent="0.3">
      <c r="B24" s="63" t="s">
        <v>107</v>
      </c>
      <c r="C24" s="25">
        <f>'Cashflow Workings'!F24</f>
        <v>20714.285714285717</v>
      </c>
      <c r="D24" s="25">
        <f>'Cashflow Workings'!G24</f>
        <v>22142.857142857145</v>
      </c>
      <c r="E24" s="25">
        <f>'Cashflow Workings'!H24</f>
        <v>21428.571428571431</v>
      </c>
      <c r="F24" s="25">
        <f>'Cashflow Workings'!I24</f>
        <v>22142.857142857145</v>
      </c>
      <c r="G24" s="25">
        <f>'Cashflow Workings'!J24</f>
        <v>22142.857142857145</v>
      </c>
      <c r="H24" s="25">
        <f>'Cashflow Workings'!K24</f>
        <v>21428.571428571431</v>
      </c>
      <c r="I24" s="25">
        <f>'Cashflow Workings'!L24</f>
        <v>22142.857142857145</v>
      </c>
      <c r="J24" s="25">
        <f>'Cashflow Workings'!M24</f>
        <v>20714.285714285717</v>
      </c>
      <c r="K24" s="25">
        <f>'Cashflow Workings'!N24</f>
        <v>22142.857142857145</v>
      </c>
      <c r="L24" s="25">
        <f>'Cashflow Workings'!O24</f>
        <v>13571.428571428572</v>
      </c>
      <c r="M24" s="25">
        <f>'Cashflow Workings'!P24</f>
        <v>19285.714285714286</v>
      </c>
      <c r="N24" s="25">
        <f>'Cashflow Workings'!Q24</f>
        <v>22142.857142857145</v>
      </c>
      <c r="P24" s="2">
        <f t="shared" si="4"/>
        <v>250000</v>
      </c>
    </row>
    <row r="25" spans="1:16" ht="12.75" customHeight="1" x14ac:dyDescent="0.3">
      <c r="B25" s="61" t="s">
        <v>166</v>
      </c>
      <c r="C25" s="25">
        <f>'Cashflow Workings'!F25</f>
        <v>1812.5000000000002</v>
      </c>
      <c r="D25" s="25">
        <f>'Cashflow Workings'!G25</f>
        <v>1937.5</v>
      </c>
      <c r="E25" s="25">
        <f>'Cashflow Workings'!H25</f>
        <v>1875</v>
      </c>
      <c r="F25" s="25">
        <f>'Cashflow Workings'!I25</f>
        <v>1937.5</v>
      </c>
      <c r="G25" s="25">
        <f>'Cashflow Workings'!J25</f>
        <v>1937.5</v>
      </c>
      <c r="H25" s="25">
        <f>'Cashflow Workings'!K25</f>
        <v>1875</v>
      </c>
      <c r="I25" s="25">
        <f>'Cashflow Workings'!L25</f>
        <v>1937.5</v>
      </c>
      <c r="J25" s="25">
        <f>'Cashflow Workings'!M25</f>
        <v>1812.5000000000002</v>
      </c>
      <c r="K25" s="25">
        <f>'Cashflow Workings'!N25</f>
        <v>1937.5</v>
      </c>
      <c r="L25" s="25">
        <f>'Cashflow Workings'!O25</f>
        <v>1187.5</v>
      </c>
      <c r="M25" s="25">
        <f>'Cashflow Workings'!P25</f>
        <v>1687.5</v>
      </c>
      <c r="N25" s="25">
        <f>'Cashflow Workings'!Q25</f>
        <v>1937.5</v>
      </c>
      <c r="P25" s="2">
        <f t="shared" si="4"/>
        <v>21875</v>
      </c>
    </row>
    <row r="26" spans="1:16" ht="12.75" customHeight="1" x14ac:dyDescent="0.3">
      <c r="B26" s="61" t="s">
        <v>167</v>
      </c>
      <c r="C26" s="25">
        <f>'Cashflow Workings'!F26</f>
        <v>1236989.6933333334</v>
      </c>
      <c r="D26" s="25">
        <f>'Cashflow Workings'!G26</f>
        <v>1285996.3733333333</v>
      </c>
      <c r="E26" s="25">
        <f>'Cashflow Workings'!H26</f>
        <v>1261493.0333333332</v>
      </c>
      <c r="F26" s="25">
        <f>'Cashflow Workings'!I26</f>
        <v>1285996.3733333333</v>
      </c>
      <c r="G26" s="25">
        <f>'Cashflow Workings'!J26</f>
        <v>1285996.3733333333</v>
      </c>
      <c r="H26" s="25">
        <f>'Cashflow Workings'!K26</f>
        <v>1261493.0333333332</v>
      </c>
      <c r="I26" s="25">
        <f>'Cashflow Workings'!L26</f>
        <v>1285996.3733333333</v>
      </c>
      <c r="J26" s="25">
        <f>'Cashflow Workings'!M26</f>
        <v>1236989.6933333334</v>
      </c>
      <c r="K26" s="25">
        <f>'Cashflow Workings'!N26</f>
        <v>1285996.3733333333</v>
      </c>
      <c r="L26" s="25">
        <f>'Cashflow Workings'!O26</f>
        <v>991956.29333333333</v>
      </c>
      <c r="M26" s="25">
        <f>'Cashflow Workings'!P26</f>
        <v>1187983.0133333334</v>
      </c>
      <c r="N26" s="25">
        <f>'Cashflow Workings'!Q26</f>
        <v>1285996.3733333333</v>
      </c>
      <c r="P26" s="2">
        <f t="shared" si="4"/>
        <v>14892882.999999998</v>
      </c>
    </row>
    <row r="27" spans="1:16" ht="12.75" customHeight="1" x14ac:dyDescent="0.3">
      <c r="B27" s="61" t="s">
        <v>168</v>
      </c>
      <c r="C27" s="25">
        <f>'Cashflow Workings'!F27</f>
        <v>123698.96933333334</v>
      </c>
      <c r="D27" s="25">
        <f>'Cashflow Workings'!G27</f>
        <v>128599.63733333333</v>
      </c>
      <c r="E27" s="25">
        <f>'Cashflow Workings'!H27</f>
        <v>126149.30333333333</v>
      </c>
      <c r="F27" s="25">
        <f>'Cashflow Workings'!I27</f>
        <v>128599.63733333333</v>
      </c>
      <c r="G27" s="25">
        <f>'Cashflow Workings'!J27</f>
        <v>128599.63733333333</v>
      </c>
      <c r="H27" s="25">
        <f>'Cashflow Workings'!K27</f>
        <v>126149.30333333333</v>
      </c>
      <c r="I27" s="25">
        <f>'Cashflow Workings'!L27</f>
        <v>128599.63733333333</v>
      </c>
      <c r="J27" s="25">
        <f>'Cashflow Workings'!M27</f>
        <v>123698.96933333334</v>
      </c>
      <c r="K27" s="25">
        <f>'Cashflow Workings'!N27</f>
        <v>128599.63733333333</v>
      </c>
      <c r="L27" s="25">
        <f>'Cashflow Workings'!O27</f>
        <v>99195.629333333345</v>
      </c>
      <c r="M27" s="25">
        <f>'Cashflow Workings'!P27</f>
        <v>118798.30133333335</v>
      </c>
      <c r="N27" s="25">
        <f>'Cashflow Workings'!Q27</f>
        <v>128599.63733333333</v>
      </c>
      <c r="P27" s="2">
        <f t="shared" si="4"/>
        <v>1489288.3</v>
      </c>
    </row>
    <row r="28" spans="1:16" ht="12.75" customHeight="1" x14ac:dyDescent="0.3">
      <c r="B28" s="61" t="s">
        <v>169</v>
      </c>
      <c r="C28" s="25">
        <f>'Cashflow Workings'!F28</f>
        <v>28750</v>
      </c>
      <c r="D28" s="25">
        <f>'Cashflow Workings'!G28</f>
        <v>28750</v>
      </c>
      <c r="E28" s="25">
        <f>'Cashflow Workings'!H28</f>
        <v>28750</v>
      </c>
      <c r="F28" s="25">
        <f>'Cashflow Workings'!I28</f>
        <v>28750</v>
      </c>
      <c r="G28" s="25">
        <f>'Cashflow Workings'!J28</f>
        <v>28750</v>
      </c>
      <c r="H28" s="25">
        <f>'Cashflow Workings'!K28</f>
        <v>28750</v>
      </c>
      <c r="I28" s="25">
        <f>'Cashflow Workings'!L28</f>
        <v>28750</v>
      </c>
      <c r="J28" s="25">
        <f>'Cashflow Workings'!M28</f>
        <v>28750</v>
      </c>
      <c r="K28" s="25">
        <f>'Cashflow Workings'!N28</f>
        <v>28750</v>
      </c>
      <c r="L28" s="25">
        <f>'Cashflow Workings'!O28</f>
        <v>28750</v>
      </c>
      <c r="M28" s="25">
        <f>'Cashflow Workings'!P28</f>
        <v>28750</v>
      </c>
      <c r="N28" s="25">
        <f>'Cashflow Workings'!Q28</f>
        <v>28750</v>
      </c>
      <c r="P28" s="2">
        <f t="shared" si="4"/>
        <v>345000</v>
      </c>
    </row>
    <row r="29" spans="1:16" ht="12.75" customHeight="1" x14ac:dyDescent="0.3">
      <c r="B29" s="61" t="s">
        <v>170</v>
      </c>
      <c r="C29" s="25">
        <f>'Cashflow Workings'!F29</f>
        <v>5031.25</v>
      </c>
      <c r="D29" s="25">
        <f>'Cashflow Workings'!G29</f>
        <v>5031.25</v>
      </c>
      <c r="E29" s="25">
        <f>'Cashflow Workings'!H29</f>
        <v>5031.25</v>
      </c>
      <c r="F29" s="25">
        <f>'Cashflow Workings'!I29</f>
        <v>5031.25</v>
      </c>
      <c r="G29" s="25">
        <f>'Cashflow Workings'!J29</f>
        <v>5031.25</v>
      </c>
      <c r="H29" s="25">
        <f>'Cashflow Workings'!K29</f>
        <v>5031.25</v>
      </c>
      <c r="I29" s="25">
        <f>'Cashflow Workings'!L29</f>
        <v>5031.25</v>
      </c>
      <c r="J29" s="25">
        <f>'Cashflow Workings'!M29</f>
        <v>5031.25</v>
      </c>
      <c r="K29" s="25">
        <f>'Cashflow Workings'!N29</f>
        <v>5031.25</v>
      </c>
      <c r="L29" s="25">
        <f>'Cashflow Workings'!O29</f>
        <v>5031.25</v>
      </c>
      <c r="M29" s="25">
        <f>'Cashflow Workings'!P29</f>
        <v>5031.25</v>
      </c>
      <c r="N29" s="25">
        <f>'Cashflow Workings'!Q29</f>
        <v>5031.25</v>
      </c>
      <c r="P29" s="2">
        <f t="shared" si="4"/>
        <v>60375</v>
      </c>
    </row>
    <row r="30" spans="1:16" ht="12.75" customHeight="1" x14ac:dyDescent="0.3">
      <c r="B30" s="61" t="s">
        <v>171</v>
      </c>
      <c r="C30" s="25">
        <f>'Cashflow Workings'!F30</f>
        <v>54145.833333333328</v>
      </c>
      <c r="D30" s="25">
        <f>'Cashflow Workings'!G30</f>
        <v>54145.833333333328</v>
      </c>
      <c r="E30" s="25">
        <f>'Cashflow Workings'!H30</f>
        <v>54145.833333333328</v>
      </c>
      <c r="F30" s="25">
        <f>'Cashflow Workings'!I30</f>
        <v>54145.833333333328</v>
      </c>
      <c r="G30" s="25">
        <f>'Cashflow Workings'!J30</f>
        <v>54145.833333333328</v>
      </c>
      <c r="H30" s="25">
        <f>'Cashflow Workings'!K30</f>
        <v>54145.833333333328</v>
      </c>
      <c r="I30" s="25">
        <f>'Cashflow Workings'!L30</f>
        <v>54145.833333333328</v>
      </c>
      <c r="J30" s="25">
        <f>'Cashflow Workings'!M30</f>
        <v>54145.833333333328</v>
      </c>
      <c r="K30" s="25">
        <f>'Cashflow Workings'!N30</f>
        <v>54145.833333333328</v>
      </c>
      <c r="L30" s="25">
        <f>'Cashflow Workings'!O30</f>
        <v>54145.833333333328</v>
      </c>
      <c r="M30" s="25">
        <f>'Cashflow Workings'!P30</f>
        <v>54145.833333333328</v>
      </c>
      <c r="N30" s="25">
        <f>'Cashflow Workings'!Q30</f>
        <v>54145.833333333328</v>
      </c>
      <c r="P30" s="2">
        <f t="shared" si="4"/>
        <v>649750</v>
      </c>
    </row>
    <row r="31" spans="1:16" ht="12.75" customHeight="1" x14ac:dyDescent="0.3">
      <c r="B31" s="61" t="s">
        <v>172</v>
      </c>
      <c r="C31" s="25">
        <f>'Cashflow Workings'!F31</f>
        <v>9475.5208333333321</v>
      </c>
      <c r="D31" s="25">
        <f>'Cashflow Workings'!G31</f>
        <v>9475.5208333333321</v>
      </c>
      <c r="E31" s="25">
        <f>'Cashflow Workings'!H31</f>
        <v>9475.5208333333321</v>
      </c>
      <c r="F31" s="25">
        <f>'Cashflow Workings'!I31</f>
        <v>9475.5208333333321</v>
      </c>
      <c r="G31" s="25">
        <f>'Cashflow Workings'!J31</f>
        <v>9475.5208333333321</v>
      </c>
      <c r="H31" s="25">
        <f>'Cashflow Workings'!K31</f>
        <v>9475.5208333333321</v>
      </c>
      <c r="I31" s="25">
        <f>'Cashflow Workings'!L31</f>
        <v>9475.5208333333321</v>
      </c>
      <c r="J31" s="25">
        <f>'Cashflow Workings'!M31</f>
        <v>9475.5208333333321</v>
      </c>
      <c r="K31" s="25">
        <f>'Cashflow Workings'!N31</f>
        <v>9475.5208333333321</v>
      </c>
      <c r="L31" s="25">
        <f>'Cashflow Workings'!O31</f>
        <v>9475.5208333333321</v>
      </c>
      <c r="M31" s="25">
        <f>'Cashflow Workings'!P31</f>
        <v>9475.5208333333321</v>
      </c>
      <c r="N31" s="25">
        <f>'Cashflow Workings'!Q31</f>
        <v>9475.5208333333321</v>
      </c>
      <c r="P31" s="2">
        <f t="shared" si="4"/>
        <v>113706.24999999996</v>
      </c>
    </row>
    <row r="32" spans="1:16" ht="12.75" customHeight="1" x14ac:dyDescent="0.3">
      <c r="B32" s="61" t="s">
        <v>49</v>
      </c>
      <c r="C32" s="25">
        <f>'Cashflow Workings'!F32</f>
        <v>66285.71428571429</v>
      </c>
      <c r="D32" s="25">
        <f>'Cashflow Workings'!G32</f>
        <v>70857.142857142855</v>
      </c>
      <c r="E32" s="25">
        <f>'Cashflow Workings'!H32</f>
        <v>68571.42857142858</v>
      </c>
      <c r="F32" s="25">
        <f>'Cashflow Workings'!I32</f>
        <v>70857.142857142855</v>
      </c>
      <c r="G32" s="25">
        <f>'Cashflow Workings'!J32</f>
        <v>70857.142857142855</v>
      </c>
      <c r="H32" s="25">
        <f>'Cashflow Workings'!K32</f>
        <v>68571.42857142858</v>
      </c>
      <c r="I32" s="25">
        <f>'Cashflow Workings'!L32</f>
        <v>70857.142857142855</v>
      </c>
      <c r="J32" s="25">
        <f>'Cashflow Workings'!M32</f>
        <v>66285.71428571429</v>
      </c>
      <c r="K32" s="25">
        <f>'Cashflow Workings'!N32</f>
        <v>70857.142857142855</v>
      </c>
      <c r="L32" s="25">
        <f>'Cashflow Workings'!O32</f>
        <v>43428.571428571428</v>
      </c>
      <c r="M32" s="25">
        <f>'Cashflow Workings'!P32</f>
        <v>61714.285714285717</v>
      </c>
      <c r="N32" s="25">
        <f>'Cashflow Workings'!Q32</f>
        <v>70857.142857142855</v>
      </c>
      <c r="P32" s="2">
        <f t="shared" si="4"/>
        <v>800000</v>
      </c>
    </row>
    <row r="33" spans="1:16" ht="12.75" customHeight="1" x14ac:dyDescent="0.3">
      <c r="B33" s="61" t="s">
        <v>173</v>
      </c>
      <c r="C33" s="25">
        <f>'Cashflow Workings'!F33</f>
        <v>6583.3333333333321</v>
      </c>
      <c r="D33" s="25">
        <f>'Cashflow Workings'!G33</f>
        <v>6577.7777777777792</v>
      </c>
      <c r="E33" s="25">
        <f>'Cashflow Workings'!H33</f>
        <v>6572.3148148148139</v>
      </c>
      <c r="F33" s="25">
        <f>'Cashflow Workings'!I33</f>
        <v>6566.9429012345699</v>
      </c>
      <c r="G33" s="25">
        <f>'Cashflow Workings'!J33</f>
        <v>6561.6605195473239</v>
      </c>
      <c r="H33" s="25">
        <f>'Cashflow Workings'!K33</f>
        <v>6556.4661775548702</v>
      </c>
      <c r="I33" s="25">
        <f>'Cashflow Workings'!L33</f>
        <v>6551.3584079289558</v>
      </c>
      <c r="J33" s="25">
        <f>'Cashflow Workings'!M33</f>
        <v>6546.335767796807</v>
      </c>
      <c r="K33" s="25">
        <f>'Cashflow Workings'!N33</f>
        <v>6541.3968383335268</v>
      </c>
      <c r="L33" s="25">
        <f>'Cashflow Workings'!O33</f>
        <v>6536.5402243613007</v>
      </c>
      <c r="M33" s="25">
        <f>'Cashflow Workings'!P33</f>
        <v>6531.7645539552796</v>
      </c>
      <c r="N33" s="25">
        <f>'Cashflow Workings'!Q33</f>
        <v>6527.0684780560241</v>
      </c>
      <c r="P33" s="2">
        <f t="shared" si="4"/>
        <v>78652.959794694587</v>
      </c>
    </row>
    <row r="34" spans="1:16" ht="12.75" customHeight="1" x14ac:dyDescent="0.3">
      <c r="B34" s="61" t="s">
        <v>174</v>
      </c>
      <c r="C34" s="25">
        <f>'Cashflow Workings'!F34</f>
        <v>-333.33333333333331</v>
      </c>
      <c r="D34" s="25">
        <f>'Cashflow Workings'!G34</f>
        <v>-327.77777777777783</v>
      </c>
      <c r="E34" s="25">
        <f>'Cashflow Workings'!H34</f>
        <v>-322.31481481481484</v>
      </c>
      <c r="F34" s="25">
        <f>'Cashflow Workings'!I34</f>
        <v>-316.94290123456796</v>
      </c>
      <c r="G34" s="25">
        <f>'Cashflow Workings'!J34</f>
        <v>-311.66051954732512</v>
      </c>
      <c r="H34" s="25">
        <f>'Cashflow Workings'!K34</f>
        <v>-306.46617755486977</v>
      </c>
      <c r="I34" s="25">
        <f>'Cashflow Workings'!L34</f>
        <v>-301.35840792895527</v>
      </c>
      <c r="J34" s="25">
        <f>'Cashflow Workings'!M34</f>
        <v>-296.33576779680601</v>
      </c>
      <c r="K34" s="25">
        <f>'Cashflow Workings'!N34</f>
        <v>-291.39683833352592</v>
      </c>
      <c r="L34" s="25">
        <f>'Cashflow Workings'!O34</f>
        <v>-286.54022436130049</v>
      </c>
      <c r="M34" s="25">
        <f>'Cashflow Workings'!P34</f>
        <v>-281.76455395527881</v>
      </c>
      <c r="N34" s="25">
        <f>'Cashflow Workings'!Q34</f>
        <v>-277.06847805602416</v>
      </c>
      <c r="P34" s="2">
        <f t="shared" si="4"/>
        <v>-3652.9597946945787</v>
      </c>
    </row>
    <row r="35" spans="1:16" ht="12.75" customHeight="1" x14ac:dyDescent="0.3">
      <c r="B35" s="61" t="s">
        <v>175</v>
      </c>
      <c r="C35" s="25">
        <f>'Cashflow Workings'!E35</f>
        <v>300000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P35" s="2">
        <f t="shared" si="4"/>
        <v>300000</v>
      </c>
    </row>
    <row r="36" spans="1:16" ht="12.75" customHeight="1" x14ac:dyDescent="0.3">
      <c r="B36" s="61" t="s">
        <v>176</v>
      </c>
      <c r="C36" s="68">
        <f>'Cashflow Workings'!F36</f>
        <v>52500</v>
      </c>
      <c r="D36" s="64">
        <f t="shared" ref="D36:N36" si="5">D35*0.175</f>
        <v>0</v>
      </c>
      <c r="E36" s="64">
        <f t="shared" si="5"/>
        <v>0</v>
      </c>
      <c r="F36" s="64">
        <f t="shared" si="5"/>
        <v>0</v>
      </c>
      <c r="G36" s="64">
        <f t="shared" si="5"/>
        <v>0</v>
      </c>
      <c r="H36" s="64">
        <f t="shared" si="5"/>
        <v>0</v>
      </c>
      <c r="I36" s="64">
        <f t="shared" si="5"/>
        <v>0</v>
      </c>
      <c r="J36" s="64">
        <f t="shared" si="5"/>
        <v>0</v>
      </c>
      <c r="K36" s="64">
        <f t="shared" si="5"/>
        <v>0</v>
      </c>
      <c r="L36" s="64">
        <f t="shared" si="5"/>
        <v>0</v>
      </c>
      <c r="M36" s="64">
        <f t="shared" si="5"/>
        <v>0</v>
      </c>
      <c r="N36" s="64">
        <f t="shared" si="5"/>
        <v>0</v>
      </c>
      <c r="P36" s="18">
        <f t="shared" si="4"/>
        <v>52500</v>
      </c>
    </row>
    <row r="37" spans="1:16" ht="12.75" customHeight="1" x14ac:dyDescent="0.3">
      <c r="B37" s="61"/>
      <c r="C37" s="66">
        <f t="shared" ref="C37:N37" si="6">SUM(C21:C36)</f>
        <v>1905653.7668333333</v>
      </c>
      <c r="D37" s="66">
        <f t="shared" si="6"/>
        <v>1613186.1148333331</v>
      </c>
      <c r="E37" s="66">
        <f t="shared" si="6"/>
        <v>1583169.9408333329</v>
      </c>
      <c r="F37" s="66">
        <f t="shared" si="6"/>
        <v>1613186.1148333331</v>
      </c>
      <c r="G37" s="66">
        <f t="shared" si="6"/>
        <v>1613186.1148333331</v>
      </c>
      <c r="H37" s="66">
        <f t="shared" si="6"/>
        <v>1583169.9408333329</v>
      </c>
      <c r="I37" s="66">
        <f t="shared" si="6"/>
        <v>1613186.1148333331</v>
      </c>
      <c r="J37" s="66">
        <f t="shared" si="6"/>
        <v>1553153.7668333333</v>
      </c>
      <c r="K37" s="66">
        <f t="shared" si="6"/>
        <v>1613186.1148333331</v>
      </c>
      <c r="L37" s="66">
        <f t="shared" si="6"/>
        <v>1252992.0268333331</v>
      </c>
      <c r="M37" s="66">
        <f t="shared" si="6"/>
        <v>1493121.4188333333</v>
      </c>
      <c r="N37" s="66">
        <f t="shared" si="6"/>
        <v>1613186.1148333331</v>
      </c>
      <c r="P37" s="66">
        <f>SUM(P21:P36)</f>
        <v>19050377.549999997</v>
      </c>
    </row>
    <row r="38" spans="1:16" ht="12.75" customHeight="1" x14ac:dyDescent="0.3">
      <c r="B38" s="61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</row>
    <row r="39" spans="1:16" ht="12.75" customHeight="1" x14ac:dyDescent="0.3">
      <c r="B39" s="61" t="s">
        <v>177</v>
      </c>
      <c r="C39" s="45">
        <f>'Cashflow Workings'!F39</f>
        <v>20000</v>
      </c>
      <c r="D39" s="45">
        <f>'Cashflow Workings'!G39</f>
        <v>0</v>
      </c>
      <c r="E39" s="45">
        <f>'Cashflow Workings'!H39</f>
        <v>0</v>
      </c>
      <c r="F39" s="45">
        <f>'Cashflow Workings'!I39</f>
        <v>0</v>
      </c>
      <c r="G39" s="45">
        <f>'Cashflow Workings'!J39</f>
        <v>0</v>
      </c>
      <c r="H39" s="45">
        <f>'Cashflow Workings'!K39</f>
        <v>0</v>
      </c>
      <c r="I39" s="45">
        <f>'Cashflow Workings'!L39</f>
        <v>0</v>
      </c>
      <c r="J39" s="45">
        <f>'Cashflow Workings'!M39</f>
        <v>0</v>
      </c>
      <c r="K39" s="45">
        <f>'Cashflow Workings'!N39</f>
        <v>0</v>
      </c>
      <c r="L39" s="45">
        <f>'Cashflow Workings'!O39</f>
        <v>0</v>
      </c>
      <c r="M39" s="45">
        <f>'Cashflow Workings'!P39</f>
        <v>0</v>
      </c>
      <c r="N39" s="45">
        <f>'Cashflow Workings'!Q39</f>
        <v>0</v>
      </c>
      <c r="P39" s="2">
        <f>SUM(C39:N39)</f>
        <v>20000</v>
      </c>
    </row>
    <row r="40" spans="1:16" ht="12.75" customHeight="1" x14ac:dyDescent="0.3">
      <c r="B40" s="61" t="s">
        <v>178</v>
      </c>
      <c r="C40" s="45">
        <f>'Cashflow Workings'!F40</f>
        <v>0</v>
      </c>
      <c r="D40" s="45">
        <f>'Cashflow Workings'!G40</f>
        <v>0</v>
      </c>
      <c r="E40" s="45">
        <f>'Cashflow Workings'!H40</f>
        <v>0</v>
      </c>
      <c r="F40" s="45">
        <f>'Cashflow Workings'!I40</f>
        <v>0</v>
      </c>
      <c r="G40" s="45">
        <f>'Cashflow Workings'!J40</f>
        <v>0</v>
      </c>
      <c r="H40" s="45">
        <f>'Cashflow Workings'!K40</f>
        <v>0</v>
      </c>
      <c r="I40" s="45">
        <f>'Cashflow Workings'!L40</f>
        <v>0</v>
      </c>
      <c r="J40" s="45">
        <f>'Cashflow Workings'!M40</f>
        <v>0</v>
      </c>
      <c r="K40" s="45">
        <f>'Cashflow Workings'!N40</f>
        <v>0</v>
      </c>
      <c r="L40" s="45">
        <f>'Cashflow Workings'!O40</f>
        <v>0</v>
      </c>
      <c r="M40" s="45">
        <f>'Cashflow Workings'!P40</f>
        <v>0</v>
      </c>
      <c r="N40" s="45">
        <f>'Cashflow Workings'!Q40</f>
        <v>0</v>
      </c>
      <c r="P40" s="2">
        <f>SUM(C40:N40)</f>
        <v>0</v>
      </c>
    </row>
    <row r="41" spans="1:16" ht="12.75" customHeight="1" x14ac:dyDescent="0.3">
      <c r="B41" s="61" t="s">
        <v>179</v>
      </c>
      <c r="C41" s="45">
        <f>'Cashflow Workings'!F41</f>
        <v>112498.98162906134</v>
      </c>
      <c r="D41" s="45">
        <f>'Cashflow Workings'!G41</f>
        <v>112498.98162906134</v>
      </c>
      <c r="E41" s="45">
        <f>'Cashflow Workings'!H41</f>
        <v>375101.86162906134</v>
      </c>
      <c r="F41" s="45">
        <f>'Cashflow Workings'!I41</f>
        <v>112498.98162906134</v>
      </c>
      <c r="G41" s="45">
        <f>'Cashflow Workings'!J41</f>
        <v>112498.98162906134</v>
      </c>
      <c r="H41" s="45">
        <f>'Cashflow Workings'!K41</f>
        <v>112498.98162906134</v>
      </c>
      <c r="I41" s="45">
        <f>'Cashflow Workings'!L41</f>
        <v>112498.98162906134</v>
      </c>
      <c r="J41" s="45">
        <f>'Cashflow Workings'!M41</f>
        <v>112498.98162906134</v>
      </c>
      <c r="K41" s="45">
        <f>'Cashflow Workings'!N41</f>
        <v>112498.98162906134</v>
      </c>
      <c r="L41" s="45">
        <f>'Cashflow Workings'!O41</f>
        <v>112498.98162906134</v>
      </c>
      <c r="M41" s="45">
        <f>'Cashflow Workings'!P41</f>
        <v>112498.98162906134</v>
      </c>
      <c r="N41" s="45">
        <f>'Cashflow Workings'!Q41</f>
        <v>112498.98162906134</v>
      </c>
      <c r="P41" s="2">
        <f>SUM(C41:N41)</f>
        <v>1612590.6595487355</v>
      </c>
    </row>
    <row r="42" spans="1:16" ht="12.75" customHeight="1" x14ac:dyDescent="0.3">
      <c r="B42" s="61" t="s">
        <v>180</v>
      </c>
      <c r="C42" s="45">
        <f>'Cashflow Workings'!F42</f>
        <v>-82373.659794871812</v>
      </c>
      <c r="D42" s="45">
        <f>'Cashflow Workings'!G42</f>
        <v>0</v>
      </c>
      <c r="E42" s="45">
        <f>'Cashflow Workings'!H42</f>
        <v>0</v>
      </c>
      <c r="F42" s="45">
        <f>'Cashflow Workings'!I42</f>
        <v>308418.53124999994</v>
      </c>
      <c r="G42" s="45">
        <f>'Cashflow Workings'!J42</f>
        <v>0</v>
      </c>
      <c r="H42" s="45">
        <f>'Cashflow Workings'!K42</f>
        <v>0</v>
      </c>
      <c r="I42" s="45">
        <f>'Cashflow Workings'!L42</f>
        <v>422664.55074999994</v>
      </c>
      <c r="J42" s="45">
        <f>'Cashflow Workings'!M42</f>
        <v>0</v>
      </c>
      <c r="K42" s="45">
        <f>'Cashflow Workings'!N42</f>
        <v>0</v>
      </c>
      <c r="L42" s="45">
        <f>'Cashflow Workings'!O42</f>
        <v>355171.37209999992</v>
      </c>
      <c r="M42" s="45">
        <f>'Cashflow Workings'!P42</f>
        <v>0</v>
      </c>
      <c r="N42" s="45">
        <f>'Cashflow Workings'!Q42</f>
        <v>0</v>
      </c>
      <c r="P42" s="2">
        <f>SUM(C42:N42)</f>
        <v>1003880.7943051279</v>
      </c>
    </row>
    <row r="43" spans="1:16" ht="12.75" customHeight="1" x14ac:dyDescent="0.3">
      <c r="B43" s="61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</row>
    <row r="44" spans="1:16" s="2" customFormat="1" ht="12.75" customHeight="1" x14ac:dyDescent="0.3">
      <c r="B44" s="16"/>
      <c r="C44" s="67">
        <f t="shared" ref="C44:N44" si="7">SUM(C37:C43)</f>
        <v>1955779.0886675227</v>
      </c>
      <c r="D44" s="67">
        <f t="shared" si="7"/>
        <v>1725685.0964623943</v>
      </c>
      <c r="E44" s="67">
        <f t="shared" si="7"/>
        <v>1958271.8024623943</v>
      </c>
      <c r="F44" s="67">
        <f t="shared" si="7"/>
        <v>2034103.6277123943</v>
      </c>
      <c r="G44" s="67">
        <f t="shared" si="7"/>
        <v>1725685.0964623943</v>
      </c>
      <c r="H44" s="67">
        <f t="shared" si="7"/>
        <v>1695668.9224623942</v>
      </c>
      <c r="I44" s="67">
        <f t="shared" si="7"/>
        <v>2148349.6472123945</v>
      </c>
      <c r="J44" s="67">
        <f t="shared" si="7"/>
        <v>1665652.7484623946</v>
      </c>
      <c r="K44" s="67">
        <f t="shared" si="7"/>
        <v>1725685.0964623943</v>
      </c>
      <c r="L44" s="67">
        <f t="shared" si="7"/>
        <v>1720662.3805623944</v>
      </c>
      <c r="M44" s="67">
        <f t="shared" si="7"/>
        <v>1605620.4004623946</v>
      </c>
      <c r="N44" s="67">
        <f t="shared" si="7"/>
        <v>1725685.0964623943</v>
      </c>
      <c r="P44" s="67">
        <f>SUM(P37:P43)</f>
        <v>21686849.003853861</v>
      </c>
    </row>
    <row r="45" spans="1:16" ht="12.75" customHeight="1" x14ac:dyDescent="0.3">
      <c r="B45" s="61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</row>
    <row r="46" spans="1:16" ht="15.75" customHeight="1" x14ac:dyDescent="0.35">
      <c r="A46" s="42" t="s">
        <v>181</v>
      </c>
      <c r="B46" s="61"/>
      <c r="C46" s="25">
        <f t="shared" ref="C46:N46" si="8">C17-C44</f>
        <v>2612354.6990824775</v>
      </c>
      <c r="D46" s="25">
        <f t="shared" si="8"/>
        <v>57492.400787605671</v>
      </c>
      <c r="E46" s="25">
        <f t="shared" si="8"/>
        <v>-115289.8837123944</v>
      </c>
      <c r="F46" s="25">
        <f t="shared" si="8"/>
        <v>-25622.753337394213</v>
      </c>
      <c r="G46" s="25">
        <f t="shared" si="8"/>
        <v>282795.77791260579</v>
      </c>
      <c r="H46" s="25">
        <f t="shared" si="8"/>
        <v>29986.720037605846</v>
      </c>
      <c r="I46" s="25">
        <f t="shared" si="8"/>
        <v>-365172.1499623945</v>
      </c>
      <c r="J46" s="25">
        <f t="shared" si="8"/>
        <v>2481.0392876055557</v>
      </c>
      <c r="K46" s="25">
        <f t="shared" si="8"/>
        <v>95580.639137605438</v>
      </c>
      <c r="L46" s="25">
        <f t="shared" si="8"/>
        <v>-627747.14031239436</v>
      </c>
      <c r="M46" s="25">
        <f t="shared" si="8"/>
        <v>-52530.32221239456</v>
      </c>
      <c r="N46" s="25">
        <f t="shared" si="8"/>
        <v>57492.400787605671</v>
      </c>
      <c r="P46" s="2">
        <f>SUM(C46:N46)</f>
        <v>1951821.4274961383</v>
      </c>
    </row>
    <row r="47" spans="1:16" ht="12.75" customHeight="1" x14ac:dyDescent="0.3">
      <c r="B47" s="61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</row>
    <row r="48" spans="1:16" ht="12.75" customHeight="1" x14ac:dyDescent="0.3">
      <c r="A48" s="1" t="s">
        <v>182</v>
      </c>
      <c r="B48" s="61"/>
      <c r="C48" s="25">
        <f>'Cashflow Workings'!F48</f>
        <v>1900550.0993992675</v>
      </c>
      <c r="D48" s="25">
        <f t="shared" ref="D48:N48" si="9">C50</f>
        <v>4512904.7984817447</v>
      </c>
      <c r="E48" s="25">
        <f t="shared" si="9"/>
        <v>4570397.1992693506</v>
      </c>
      <c r="F48" s="25">
        <f t="shared" si="9"/>
        <v>4455107.3155569565</v>
      </c>
      <c r="G48" s="25">
        <f t="shared" si="9"/>
        <v>4429484.562219562</v>
      </c>
      <c r="H48" s="25">
        <f t="shared" si="9"/>
        <v>4712280.3401321676</v>
      </c>
      <c r="I48" s="25">
        <f t="shared" si="9"/>
        <v>4742267.0601697732</v>
      </c>
      <c r="J48" s="25">
        <f t="shared" si="9"/>
        <v>4377094.9102073787</v>
      </c>
      <c r="K48" s="25">
        <f t="shared" si="9"/>
        <v>4379575.949494984</v>
      </c>
      <c r="L48" s="25">
        <f t="shared" si="9"/>
        <v>4475156.5886325892</v>
      </c>
      <c r="M48" s="25">
        <f t="shared" si="9"/>
        <v>3847409.4483201951</v>
      </c>
      <c r="N48" s="25">
        <f t="shared" si="9"/>
        <v>3794879.1261078008</v>
      </c>
      <c r="P48" s="2">
        <f>C48</f>
        <v>1900550.0993992675</v>
      </c>
    </row>
    <row r="49" spans="1:16" ht="12.75" customHeight="1" x14ac:dyDescent="0.3">
      <c r="B49" s="61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</row>
    <row r="50" spans="1:16" ht="15" customHeight="1" x14ac:dyDescent="0.35">
      <c r="A50" s="42" t="s">
        <v>183</v>
      </c>
      <c r="C50" s="47">
        <f t="shared" ref="C50:N50" si="10">C46+C48</f>
        <v>4512904.7984817447</v>
      </c>
      <c r="D50" s="47">
        <f t="shared" si="10"/>
        <v>4570397.1992693506</v>
      </c>
      <c r="E50" s="47">
        <f t="shared" si="10"/>
        <v>4455107.3155569565</v>
      </c>
      <c r="F50" s="47">
        <f t="shared" si="10"/>
        <v>4429484.562219562</v>
      </c>
      <c r="G50" s="47">
        <f t="shared" si="10"/>
        <v>4712280.3401321676</v>
      </c>
      <c r="H50" s="47">
        <f t="shared" si="10"/>
        <v>4742267.0601697732</v>
      </c>
      <c r="I50" s="47">
        <f t="shared" si="10"/>
        <v>4377094.9102073787</v>
      </c>
      <c r="J50" s="47">
        <f t="shared" si="10"/>
        <v>4379575.949494984</v>
      </c>
      <c r="K50" s="47">
        <f t="shared" si="10"/>
        <v>4475156.5886325892</v>
      </c>
      <c r="L50" s="47">
        <f t="shared" si="10"/>
        <v>3847409.4483201951</v>
      </c>
      <c r="M50" s="47">
        <f t="shared" si="10"/>
        <v>3794879.1261078008</v>
      </c>
      <c r="N50" s="47">
        <f t="shared" si="10"/>
        <v>3852371.5268954067</v>
      </c>
      <c r="P50" s="47">
        <f>P46+P48</f>
        <v>3852371.5268954057</v>
      </c>
    </row>
    <row r="51" spans="1:16" ht="12.75" customHeight="1" x14ac:dyDescent="0.3"/>
    <row r="52" spans="1:16" ht="12.75" customHeight="1" x14ac:dyDescent="0.3"/>
    <row r="53" spans="1:16" ht="12.75" hidden="1" customHeight="1" x14ac:dyDescent="0.3">
      <c r="B53" s="1" t="s">
        <v>185</v>
      </c>
      <c r="C53" s="25">
        <f t="shared" ref="C53:N53" si="11">C10+C12</f>
        <v>244892.95774999997</v>
      </c>
      <c r="D53" s="25">
        <f t="shared" si="11"/>
        <v>261782.12724999999</v>
      </c>
      <c r="E53" s="25">
        <f t="shared" si="11"/>
        <v>270811.66875000001</v>
      </c>
      <c r="F53" s="25">
        <f t="shared" si="11"/>
        <v>295337.94937499997</v>
      </c>
      <c r="G53" s="25">
        <f t="shared" si="11"/>
        <v>295337.94937499997</v>
      </c>
      <c r="H53" s="25">
        <f t="shared" si="11"/>
        <v>253337.54249999998</v>
      </c>
      <c r="I53" s="25">
        <f t="shared" si="11"/>
        <v>261782.12724999999</v>
      </c>
      <c r="J53" s="25">
        <f t="shared" si="11"/>
        <v>244892.95774999997</v>
      </c>
      <c r="K53" s="25">
        <f t="shared" si="11"/>
        <v>267454.84359999996</v>
      </c>
      <c r="L53" s="25">
        <f t="shared" si="11"/>
        <v>160447.11024999997</v>
      </c>
      <c r="M53" s="25">
        <f t="shared" si="11"/>
        <v>228003.78824999998</v>
      </c>
      <c r="N53" s="25">
        <f t="shared" si="11"/>
        <v>261782.12724999999</v>
      </c>
    </row>
    <row r="54" spans="1:16" ht="12.75" hidden="1" customHeight="1" x14ac:dyDescent="0.3">
      <c r="B54" s="1" t="s">
        <v>186</v>
      </c>
      <c r="C54" s="25">
        <f t="shared" ref="C54:N54" si="12">-(C36+C31+C29+C27+C25+C23)</f>
        <v>-192518.24016666668</v>
      </c>
      <c r="D54" s="25">
        <f t="shared" si="12"/>
        <v>-145043.90816666666</v>
      </c>
      <c r="E54" s="25">
        <f t="shared" si="12"/>
        <v>-142531.07416666666</v>
      </c>
      <c r="F54" s="25">
        <f t="shared" si="12"/>
        <v>-145043.90816666666</v>
      </c>
      <c r="G54" s="25">
        <f t="shared" si="12"/>
        <v>-145043.90816666666</v>
      </c>
      <c r="H54" s="25">
        <f t="shared" si="12"/>
        <v>-142531.07416666666</v>
      </c>
      <c r="I54" s="25">
        <f t="shared" si="12"/>
        <v>-145043.90816666666</v>
      </c>
      <c r="J54" s="25">
        <f t="shared" si="12"/>
        <v>-140018.24016666668</v>
      </c>
      <c r="K54" s="25">
        <f t="shared" si="12"/>
        <v>-145043.90816666666</v>
      </c>
      <c r="L54" s="25">
        <f t="shared" si="12"/>
        <v>-114889.90016666667</v>
      </c>
      <c r="M54" s="25">
        <f t="shared" si="12"/>
        <v>-134992.57216666668</v>
      </c>
      <c r="N54" s="25">
        <f t="shared" si="12"/>
        <v>-145043.90816666666</v>
      </c>
    </row>
    <row r="55" spans="1:16" ht="12.75" hidden="1" customHeight="1" x14ac:dyDescent="0.3">
      <c r="B55" s="1" t="s">
        <v>187</v>
      </c>
      <c r="C55" s="25">
        <f t="shared" ref="C55:N55" si="13">C53+C54</f>
        <v>52374.717583333288</v>
      </c>
      <c r="D55" s="25">
        <f t="shared" si="13"/>
        <v>116738.21908333333</v>
      </c>
      <c r="E55" s="25">
        <f t="shared" si="13"/>
        <v>128280.59458333335</v>
      </c>
      <c r="F55" s="25">
        <f t="shared" si="13"/>
        <v>150294.04120833331</v>
      </c>
      <c r="G55" s="25">
        <f t="shared" si="13"/>
        <v>150294.04120833331</v>
      </c>
      <c r="H55" s="25">
        <f t="shared" si="13"/>
        <v>110806.46833333332</v>
      </c>
      <c r="I55" s="25">
        <f t="shared" si="13"/>
        <v>116738.21908333333</v>
      </c>
      <c r="J55" s="25">
        <f t="shared" si="13"/>
        <v>104874.71758333329</v>
      </c>
      <c r="K55" s="25">
        <f t="shared" si="13"/>
        <v>122410.9354333333</v>
      </c>
      <c r="L55" s="25">
        <f t="shared" si="13"/>
        <v>45557.210083333295</v>
      </c>
      <c r="M55" s="25">
        <f t="shared" si="13"/>
        <v>93011.216083333304</v>
      </c>
      <c r="N55" s="25">
        <f t="shared" si="13"/>
        <v>116738.21908333333</v>
      </c>
    </row>
    <row r="56" spans="1:16" ht="12.75" hidden="1" customHeight="1" x14ac:dyDescent="0.3"/>
    <row r="57" spans="1:16" ht="12.75" hidden="1" customHeight="1" x14ac:dyDescent="0.3"/>
    <row r="58" spans="1:16" ht="12.75" hidden="1" customHeight="1" x14ac:dyDescent="0.3">
      <c r="B58" s="36" t="s">
        <v>178</v>
      </c>
    </row>
    <row r="59" spans="1:16" ht="12.75" hidden="1" customHeight="1" x14ac:dyDescent="0.3"/>
    <row r="60" spans="1:16" ht="12.75" hidden="1" customHeight="1" x14ac:dyDescent="0.3">
      <c r="B60" s="2" t="s">
        <v>188</v>
      </c>
      <c r="C60" s="8" t="s">
        <v>189</v>
      </c>
      <c r="D60" s="8" t="s">
        <v>70</v>
      </c>
      <c r="E60" s="8" t="s">
        <v>72</v>
      </c>
      <c r="F60" s="8" t="s">
        <v>60</v>
      </c>
      <c r="G60" s="8" t="s">
        <v>190</v>
      </c>
      <c r="I60" s="8" t="s">
        <v>191</v>
      </c>
    </row>
    <row r="61" spans="1:16" ht="12.75" hidden="1" customHeight="1" x14ac:dyDescent="0.3">
      <c r="B61" s="69">
        <v>2006</v>
      </c>
      <c r="G61" s="25" t="e">
        <f>#REF!+#REF!-SUM(C61:F61)</f>
        <v>#REF!</v>
      </c>
      <c r="I61" s="25">
        <f>SUM(C61:F61)</f>
        <v>0</v>
      </c>
    </row>
    <row r="62" spans="1:16" ht="12.75" hidden="1" customHeight="1" x14ac:dyDescent="0.3">
      <c r="B62" s="69">
        <v>2007</v>
      </c>
      <c r="D62" s="25" t="e">
        <f>#REF!/4</f>
        <v>#REF!</v>
      </c>
      <c r="E62" s="25" t="e">
        <f>#REF!</f>
        <v>#REF!</v>
      </c>
      <c r="F62" s="25" t="e">
        <f>#REF!/4</f>
        <v>#REF!</v>
      </c>
      <c r="G62" s="25" t="e">
        <f>#REF!+#REF!-SUM(C62:F62)</f>
        <v>#REF!</v>
      </c>
      <c r="I62" s="25" t="e">
        <f>SUM(C62:F62)</f>
        <v>#REF!</v>
      </c>
    </row>
    <row r="63" spans="1:16" ht="12.75" hidden="1" customHeight="1" x14ac:dyDescent="0.3">
      <c r="B63" s="69">
        <v>2008</v>
      </c>
      <c r="C63" s="25" t="e">
        <f>#REF!/4</f>
        <v>#REF!</v>
      </c>
      <c r="D63" s="25" t="e">
        <f>#REF!/4</f>
        <v>#REF!</v>
      </c>
      <c r="E63" s="70">
        <v>0</v>
      </c>
      <c r="F63" s="25" t="e">
        <f>#REF!/4</f>
        <v>#REF!</v>
      </c>
      <c r="G63" s="25" t="e">
        <f>#REF!+#REF!-SUM(C63:F63)</f>
        <v>#REF!</v>
      </c>
      <c r="I63" s="25" t="e">
        <f>SUM(C63:F63)</f>
        <v>#REF!</v>
      </c>
    </row>
    <row r="64" spans="1:16" ht="12.75" hidden="1" customHeight="1" x14ac:dyDescent="0.3">
      <c r="B64" s="69">
        <v>2009</v>
      </c>
      <c r="C64" s="25" t="e">
        <f>#REF!/4</f>
        <v>#REF!</v>
      </c>
      <c r="D64" s="25" t="e">
        <f>#REF!/4</f>
        <v>#REF!</v>
      </c>
      <c r="E64" s="70">
        <v>0</v>
      </c>
      <c r="F64" s="25" t="e">
        <f>#REF!/4</f>
        <v>#REF!</v>
      </c>
      <c r="G64" s="25" t="e">
        <f>#REF!+#REF!-SUM(C64:F64)</f>
        <v>#REF!</v>
      </c>
      <c r="I64" s="25" t="e">
        <f>SUM(C64:F64)</f>
        <v>#REF!</v>
      </c>
    </row>
    <row r="65" spans="2:9" ht="12.75" hidden="1" customHeight="1" x14ac:dyDescent="0.3">
      <c r="B65" s="69">
        <v>2010</v>
      </c>
      <c r="C65" s="25" t="e">
        <f>#REF!/4</f>
        <v>#REF!</v>
      </c>
      <c r="D65" s="25" t="e">
        <f>#REF!/4</f>
        <v>#REF!</v>
      </c>
      <c r="E65" s="70">
        <v>0</v>
      </c>
      <c r="F65" s="25" t="e">
        <f>#REF!/4</f>
        <v>#REF!</v>
      </c>
      <c r="G65" s="25" t="e">
        <f>#REF!+#REF!-SUM(C65:F65)</f>
        <v>#REF!</v>
      </c>
      <c r="I65" s="25" t="e">
        <f>SUM(C65:F65)</f>
        <v>#REF!</v>
      </c>
    </row>
    <row r="66" spans="2:9" ht="12.75" hidden="1" customHeight="1" x14ac:dyDescent="0.3"/>
    <row r="67" spans="2:9" ht="12.75" hidden="1" customHeight="1" x14ac:dyDescent="0.3">
      <c r="B67" s="1" t="s">
        <v>192</v>
      </c>
    </row>
    <row r="68" spans="2:9" ht="12.75" customHeight="1" x14ac:dyDescent="0.3"/>
    <row r="69" spans="2:9" ht="12.75" customHeight="1" x14ac:dyDescent="0.3"/>
    <row r="70" spans="2:9" ht="12.75" customHeight="1" x14ac:dyDescent="0.3"/>
    <row r="71" spans="2:9" ht="12.75" customHeight="1" x14ac:dyDescent="0.3"/>
    <row r="72" spans="2:9" ht="12.75" customHeight="1" x14ac:dyDescent="0.3"/>
    <row r="73" spans="2:9" ht="12.75" customHeight="1" x14ac:dyDescent="0.3"/>
    <row r="74" spans="2:9" ht="12.75" customHeight="1" x14ac:dyDescent="0.3"/>
    <row r="75" spans="2:9" ht="12.75" customHeight="1" x14ac:dyDescent="0.3"/>
    <row r="76" spans="2:9" ht="12.75" customHeight="1" x14ac:dyDescent="0.3"/>
    <row r="77" spans="2:9" ht="12.75" customHeight="1" x14ac:dyDescent="0.3"/>
    <row r="78" spans="2:9" ht="12.75" customHeight="1" x14ac:dyDescent="0.3"/>
    <row r="79" spans="2:9" ht="12.75" customHeight="1" x14ac:dyDescent="0.3"/>
    <row r="80" spans="2:9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</sheetData>
  <pageMargins left="0.74791666666666667" right="0.74791666666666667" top="0.98402777777777783" bottom="0.98402777777777783" header="0.51180555555555562" footer="0.51180555555555562"/>
  <pageSetup paperSize="9" scale="63" firstPageNumber="0" orientation="landscape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32"/>
  <sheetViews>
    <sheetView zoomScaleSheetLayoutView="75" workbookViewId="0">
      <pane xSplit="17" ySplit="6" topLeftCell="R7" activePane="bottomRight" state="frozen"/>
      <selection pane="topRight" activeCell="R1" sqref="R1"/>
      <selection pane="bottomLeft" activeCell="A22" sqref="A22"/>
      <selection pane="bottomRight" activeCell="A2" sqref="A2"/>
    </sheetView>
  </sheetViews>
  <sheetFormatPr defaultColWidth="9.08984375" defaultRowHeight="12.5" x14ac:dyDescent="0.25"/>
  <cols>
    <col min="1" max="1" width="2.453125" style="1" customWidth="1"/>
    <col min="2" max="2" width="28.81640625" style="1" customWidth="1"/>
    <col min="3" max="17" width="0" style="25" hidden="1" customWidth="1"/>
    <col min="18" max="18" width="13.08984375" style="25" customWidth="1"/>
    <col min="19" max="19" width="13.26953125" style="25" customWidth="1"/>
    <col min="20" max="21" width="12.81640625" style="25" customWidth="1"/>
    <col min="22" max="22" width="13.26953125" style="25" customWidth="1"/>
    <col min="23" max="23" width="12.81640625" style="25" customWidth="1"/>
    <col min="24" max="25" width="13.26953125" style="25" customWidth="1"/>
    <col min="26" max="26" width="12.81640625" style="25" customWidth="1"/>
    <col min="27" max="27" width="12.54296875" style="25" customWidth="1"/>
    <col min="28" max="28" width="14.08984375" style="25" customWidth="1"/>
    <col min="29" max="29" width="13.81640625" style="25" customWidth="1"/>
    <col min="30" max="51" width="0" style="25" hidden="1" customWidth="1"/>
    <col min="52" max="52" width="3.7265625" style="1" customWidth="1"/>
    <col min="53" max="53" width="15.54296875" style="1" customWidth="1"/>
    <col min="54" max="16384" width="9.08984375" style="1"/>
  </cols>
  <sheetData>
    <row r="1" spans="1:53" ht="15.5" x14ac:dyDescent="0.35">
      <c r="A1" s="26" t="s">
        <v>240</v>
      </c>
      <c r="B1" s="27"/>
    </row>
    <row r="2" spans="1:53" ht="15.5" x14ac:dyDescent="0.35">
      <c r="A2" s="26" t="s">
        <v>153</v>
      </c>
      <c r="B2" s="27"/>
    </row>
    <row r="3" spans="1:53" ht="15.5" x14ac:dyDescent="0.35">
      <c r="A3" s="26" t="s">
        <v>77</v>
      </c>
      <c r="B3" s="27"/>
      <c r="E3" s="60"/>
    </row>
    <row r="5" spans="1:53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66</v>
      </c>
      <c r="AE5" s="8" t="s">
        <v>67</v>
      </c>
      <c r="AF5" s="8" t="s">
        <v>68</v>
      </c>
      <c r="AG5" s="8" t="s">
        <v>69</v>
      </c>
      <c r="AH5" s="8" t="s">
        <v>70</v>
      </c>
      <c r="AI5" s="8" t="s">
        <v>71</v>
      </c>
      <c r="AJ5" s="8" t="s">
        <v>72</v>
      </c>
      <c r="AK5" s="8" t="s">
        <v>60</v>
      </c>
      <c r="AL5" s="8" t="s">
        <v>61</v>
      </c>
      <c r="AM5" s="8" t="s">
        <v>62</v>
      </c>
      <c r="AN5" s="8" t="s">
        <v>64</v>
      </c>
      <c r="AO5" s="8" t="s">
        <v>65</v>
      </c>
      <c r="AP5" s="8" t="s">
        <v>66</v>
      </c>
      <c r="AQ5" s="8" t="s">
        <v>67</v>
      </c>
      <c r="AR5" s="8" t="s">
        <v>68</v>
      </c>
      <c r="AS5" s="8" t="s">
        <v>69</v>
      </c>
      <c r="AT5" s="8" t="s">
        <v>70</v>
      </c>
      <c r="AU5" s="8" t="s">
        <v>71</v>
      </c>
      <c r="AV5" s="8" t="s">
        <v>72</v>
      </c>
      <c r="AW5" s="8" t="s">
        <v>60</v>
      </c>
      <c r="AX5" s="8" t="s">
        <v>61</v>
      </c>
      <c r="AY5" s="8" t="s">
        <v>62</v>
      </c>
      <c r="BA5" s="8" t="s">
        <v>3</v>
      </c>
    </row>
    <row r="6" spans="1:53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2009</v>
      </c>
      <c r="AL6" s="7">
        <v>2009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2010</v>
      </c>
      <c r="AX6" s="7">
        <v>2010</v>
      </c>
      <c r="AY6" s="7">
        <v>2010</v>
      </c>
      <c r="BA6" s="7">
        <v>2008</v>
      </c>
    </row>
    <row r="7" spans="1:53" ht="15.5" x14ac:dyDescent="0.35">
      <c r="A7" s="26" t="s">
        <v>155</v>
      </c>
    </row>
    <row r="8" spans="1:53" ht="13" x14ac:dyDescent="0.3">
      <c r="B8" s="34" t="s">
        <v>156</v>
      </c>
      <c r="C8" s="25">
        <f>1500000</f>
        <v>1500000</v>
      </c>
      <c r="BA8" s="2">
        <f t="shared" ref="BA8:BA16" si="0">SUM(R8:AC8)</f>
        <v>0</v>
      </c>
    </row>
    <row r="9" spans="1:53" ht="13" x14ac:dyDescent="0.3">
      <c r="B9" s="34" t="s">
        <v>157</v>
      </c>
      <c r="C9" s="25">
        <f>P_L!C8</f>
        <v>0</v>
      </c>
      <c r="D9" s="25">
        <f>P_L!D8</f>
        <v>0</v>
      </c>
      <c r="E9" s="25">
        <f>P_L!E8</f>
        <v>329000</v>
      </c>
      <c r="F9" s="25">
        <f>P_L!F8</f>
        <v>1390274.5</v>
      </c>
      <c r="G9" s="25">
        <f>P_L!G8</f>
        <v>1486155.5</v>
      </c>
      <c r="H9" s="25">
        <f>P_L!H8</f>
        <v>1523925</v>
      </c>
      <c r="I9" s="25">
        <f>P_L!I8</f>
        <v>1663289.5</v>
      </c>
      <c r="J9" s="25">
        <f>P_L!J8</f>
        <v>1663289.5</v>
      </c>
      <c r="K9" s="25">
        <f>P_L!K8</f>
        <v>1438215</v>
      </c>
      <c r="L9" s="25">
        <f>P_L!L8</f>
        <v>1486155.5</v>
      </c>
      <c r="M9" s="25">
        <f>P_L!M8</f>
        <v>1390274.5</v>
      </c>
      <c r="N9" s="25">
        <f>P_L!N8</f>
        <v>1512725.5999999999</v>
      </c>
      <c r="O9" s="25">
        <f>P_L!O8</f>
        <v>910869.5</v>
      </c>
      <c r="P9" s="25">
        <f>P_L!P8</f>
        <v>1294393.5</v>
      </c>
      <c r="Q9" s="25">
        <f>P_L!Q8</f>
        <v>1486155.5</v>
      </c>
      <c r="R9" s="25">
        <f>'Cashflow Workings'!R9</f>
        <v>1470851.7250000001</v>
      </c>
      <c r="S9" s="25">
        <f>'Cashflow Workings'!S9</f>
        <v>1572289.7750000001</v>
      </c>
      <c r="T9" s="25">
        <f>'Cashflow Workings'!T9</f>
        <v>1617994.5</v>
      </c>
      <c r="U9" s="25">
        <f>'Cashflow Workings'!U9</f>
        <v>1778208.05</v>
      </c>
      <c r="V9" s="25">
        <f>'Cashflow Workings'!V9</f>
        <v>1778208.05</v>
      </c>
      <c r="W9" s="25">
        <f>'Cashflow Workings'!W9</f>
        <v>1521570.75</v>
      </c>
      <c r="X9" s="25">
        <f>'Cashflow Workings'!X9</f>
        <v>1572289.7750000001</v>
      </c>
      <c r="Y9" s="25">
        <f>'Cashflow Workings'!Y9</f>
        <v>1470851.7250000001</v>
      </c>
      <c r="Z9" s="25">
        <f>'Cashflow Workings'!Z9</f>
        <v>1596645.7</v>
      </c>
      <c r="AA9" s="25">
        <f>'Cashflow Workings'!AA9</f>
        <v>912942.45000000007</v>
      </c>
      <c r="AB9" s="25">
        <f>'Cashflow Workings'!AB9</f>
        <v>1420132.7</v>
      </c>
      <c r="AC9" s="25">
        <f>'Cashflow Workings'!AC9</f>
        <v>1572289.7750000001</v>
      </c>
      <c r="AD9" s="25">
        <f>P_L!AF8</f>
        <v>1708419</v>
      </c>
      <c r="AE9" s="25">
        <f>P_L!AG8</f>
        <v>1871646.7</v>
      </c>
      <c r="AF9" s="25">
        <f>P_L!AH8</f>
        <v>1871646.7</v>
      </c>
      <c r="AG9" s="25">
        <f>P_L!AI8</f>
        <v>1605567</v>
      </c>
      <c r="AH9" s="25">
        <f>P_L!AJ8</f>
        <v>1659085.9000000001</v>
      </c>
      <c r="AI9" s="25">
        <f>P_L!AK8</f>
        <v>1552048.1</v>
      </c>
      <c r="AJ9" s="25">
        <f>P_L!AL8</f>
        <v>1685656</v>
      </c>
      <c r="AK9" s="25">
        <f>P_L!AM8</f>
        <v>1016859.1</v>
      </c>
      <c r="AL9" s="25">
        <f>P_L!AN8</f>
        <v>1445010.3</v>
      </c>
      <c r="AM9" s="25">
        <f>P_L!AO8</f>
        <v>1659085.9000000001</v>
      </c>
      <c r="AN9" s="25">
        <f>P_L!AP8</f>
        <v>1658309.9</v>
      </c>
      <c r="AO9" s="25">
        <f>P_L!AQ8</f>
        <v>1746106</v>
      </c>
      <c r="AP9" s="25">
        <f>P_L!AR8</f>
        <v>1766919</v>
      </c>
      <c r="AQ9" s="25">
        <f>P_L!AS8</f>
        <v>1932096.7</v>
      </c>
      <c r="AR9" s="25">
        <f>P_L!AT8</f>
        <v>1932096.7</v>
      </c>
      <c r="AS9" s="25">
        <f>P_L!AU8</f>
        <v>1670495.25</v>
      </c>
      <c r="AT9" s="25">
        <f>P_L!AV8</f>
        <v>1726178.425</v>
      </c>
      <c r="AU9" s="25">
        <f>P_L!AW8</f>
        <v>1608598.1</v>
      </c>
      <c r="AV9" s="25">
        <f>P_L!AX8</f>
        <v>1746106</v>
      </c>
      <c r="AW9" s="25">
        <f>P_L!AY8</f>
        <v>1053909.1000000001</v>
      </c>
      <c r="AX9" s="25">
        <f>P_L!AZ8</f>
        <v>1497660.3</v>
      </c>
      <c r="AY9" s="25">
        <f>P_L!BA8</f>
        <v>1719535.9000000001</v>
      </c>
      <c r="BA9" s="2">
        <f t="shared" si="0"/>
        <v>18284274.974999998</v>
      </c>
    </row>
    <row r="10" spans="1:53" ht="13" x14ac:dyDescent="0.3">
      <c r="B10" s="34" t="s">
        <v>158</v>
      </c>
      <c r="C10" s="25">
        <f t="shared" ref="C10:Q10" si="1">C9*0.175</f>
        <v>0</v>
      </c>
      <c r="D10" s="25">
        <f t="shared" si="1"/>
        <v>0</v>
      </c>
      <c r="E10" s="25">
        <f t="shared" si="1"/>
        <v>57574.999999999993</v>
      </c>
      <c r="F10" s="25">
        <f t="shared" si="1"/>
        <v>243298.03749999998</v>
      </c>
      <c r="G10" s="25">
        <f t="shared" si="1"/>
        <v>260077.21249999999</v>
      </c>
      <c r="H10" s="25">
        <f t="shared" si="1"/>
        <v>266686.875</v>
      </c>
      <c r="I10" s="25">
        <f t="shared" si="1"/>
        <v>291075.66249999998</v>
      </c>
      <c r="J10" s="25">
        <f t="shared" si="1"/>
        <v>291075.66249999998</v>
      </c>
      <c r="K10" s="25">
        <f t="shared" si="1"/>
        <v>251687.62499999997</v>
      </c>
      <c r="L10" s="25">
        <f t="shared" si="1"/>
        <v>260077.21249999999</v>
      </c>
      <c r="M10" s="25">
        <f t="shared" si="1"/>
        <v>243298.03749999998</v>
      </c>
      <c r="N10" s="25">
        <f t="shared" si="1"/>
        <v>264726.98</v>
      </c>
      <c r="O10" s="25">
        <f t="shared" si="1"/>
        <v>159402.16249999998</v>
      </c>
      <c r="P10" s="25">
        <f t="shared" si="1"/>
        <v>226518.86249999999</v>
      </c>
      <c r="Q10" s="25">
        <f t="shared" si="1"/>
        <v>260077.21249999999</v>
      </c>
      <c r="R10" s="25">
        <f>'Cashflow Workings'!R10</f>
        <v>257399.051875</v>
      </c>
      <c r="S10" s="25">
        <f>'Cashflow Workings'!S10</f>
        <v>275150.71062500001</v>
      </c>
      <c r="T10" s="25">
        <f>'Cashflow Workings'!T10</f>
        <v>283149.03749999998</v>
      </c>
      <c r="U10" s="25">
        <f>'Cashflow Workings'!U10</f>
        <v>311186.40875</v>
      </c>
      <c r="V10" s="25">
        <f>'Cashflow Workings'!V10</f>
        <v>311186.40875</v>
      </c>
      <c r="W10" s="25">
        <f>'Cashflow Workings'!W10</f>
        <v>266274.88124999998</v>
      </c>
      <c r="X10" s="25">
        <f>'Cashflow Workings'!X10</f>
        <v>275150.71062500001</v>
      </c>
      <c r="Y10" s="25">
        <f>'Cashflow Workings'!Y10</f>
        <v>257399.051875</v>
      </c>
      <c r="Z10" s="25">
        <f>'Cashflow Workings'!Z10</f>
        <v>279412.9975</v>
      </c>
      <c r="AA10" s="25">
        <f>'Cashflow Workings'!AA10</f>
        <v>159764.92874999999</v>
      </c>
      <c r="AB10" s="25">
        <f>'Cashflow Workings'!AB10</f>
        <v>248523.22249999997</v>
      </c>
      <c r="AC10" s="25">
        <f>'Cashflow Workings'!AC10</f>
        <v>275150.71062500001</v>
      </c>
      <c r="AD10" s="25">
        <f t="shared" ref="AD10:AY10" si="2">AD9*0.175</f>
        <v>298973.32499999995</v>
      </c>
      <c r="AE10" s="25">
        <f t="shared" si="2"/>
        <v>327538.17249999999</v>
      </c>
      <c r="AF10" s="25">
        <f t="shared" si="2"/>
        <v>327538.17249999999</v>
      </c>
      <c r="AG10" s="25">
        <f t="shared" si="2"/>
        <v>280974.22499999998</v>
      </c>
      <c r="AH10" s="25">
        <f t="shared" si="2"/>
        <v>290340.03250000003</v>
      </c>
      <c r="AI10" s="25">
        <f t="shared" si="2"/>
        <v>271608.41749999998</v>
      </c>
      <c r="AJ10" s="25">
        <f t="shared" si="2"/>
        <v>294989.8</v>
      </c>
      <c r="AK10" s="25">
        <f t="shared" si="2"/>
        <v>177950.3425</v>
      </c>
      <c r="AL10" s="25">
        <f t="shared" si="2"/>
        <v>252876.80249999999</v>
      </c>
      <c r="AM10" s="25">
        <f t="shared" si="2"/>
        <v>290340.03250000003</v>
      </c>
      <c r="AN10" s="25">
        <f t="shared" si="2"/>
        <v>290204.23249999998</v>
      </c>
      <c r="AO10" s="25">
        <f t="shared" si="2"/>
        <v>305568.55</v>
      </c>
      <c r="AP10" s="25">
        <f t="shared" si="2"/>
        <v>309210.82499999995</v>
      </c>
      <c r="AQ10" s="25">
        <f t="shared" si="2"/>
        <v>338116.92249999999</v>
      </c>
      <c r="AR10" s="25">
        <f t="shared" si="2"/>
        <v>338116.92249999999</v>
      </c>
      <c r="AS10" s="25">
        <f t="shared" si="2"/>
        <v>292336.66874999995</v>
      </c>
      <c r="AT10" s="25">
        <f t="shared" si="2"/>
        <v>302081.22437499999</v>
      </c>
      <c r="AU10" s="25">
        <f t="shared" si="2"/>
        <v>281504.66749999998</v>
      </c>
      <c r="AV10" s="25">
        <f t="shared" si="2"/>
        <v>305568.55</v>
      </c>
      <c r="AW10" s="25">
        <f t="shared" si="2"/>
        <v>184434.0925</v>
      </c>
      <c r="AX10" s="25">
        <f t="shared" si="2"/>
        <v>262090.55249999999</v>
      </c>
      <c r="AY10" s="25">
        <f t="shared" si="2"/>
        <v>300918.78250000003</v>
      </c>
      <c r="BA10" s="2">
        <f t="shared" si="0"/>
        <v>3199748.120625</v>
      </c>
    </row>
    <row r="11" spans="1:53" ht="13" x14ac:dyDescent="0.3">
      <c r="B11" s="34" t="s">
        <v>159</v>
      </c>
      <c r="C11" s="25">
        <f>'P_L Workings'!C69</f>
        <v>0</v>
      </c>
      <c r="D11" s="25">
        <f>'P_L Workings'!D69</f>
        <v>0</v>
      </c>
      <c r="E11" s="25">
        <f>'P_L Workings'!E69</f>
        <v>2310</v>
      </c>
      <c r="F11" s="25">
        <f>'P_L Workings'!F69</f>
        <v>9113.83</v>
      </c>
      <c r="G11" s="25">
        <f>'P_L Workings'!G69</f>
        <v>9742.369999999999</v>
      </c>
      <c r="H11" s="25">
        <f>'P_L Workings'!H69</f>
        <v>23570.250000000007</v>
      </c>
      <c r="I11" s="25">
        <f>'P_L Workings'!I69</f>
        <v>24355.925000000007</v>
      </c>
      <c r="J11" s="25">
        <f>'P_L Workings'!J69</f>
        <v>24355.925000000007</v>
      </c>
      <c r="K11" s="25">
        <f>'P_L Workings'!K69</f>
        <v>9428.0999999999985</v>
      </c>
      <c r="L11" s="25">
        <f>'P_L Workings'!L69</f>
        <v>9742.369999999999</v>
      </c>
      <c r="M11" s="25">
        <f>'P_L Workings'!M69</f>
        <v>9113.83</v>
      </c>
      <c r="N11" s="25">
        <f>'P_L Workings'!N69</f>
        <v>15587.791999999999</v>
      </c>
      <c r="O11" s="25">
        <f>'P_L Workings'!O69</f>
        <v>5971.1299999999992</v>
      </c>
      <c r="P11" s="25">
        <f>'P_L Workings'!P69</f>
        <v>8485.2899999999991</v>
      </c>
      <c r="Q11" s="25">
        <f>'P_L Workings'!Q69</f>
        <v>9742.369999999999</v>
      </c>
      <c r="R11" s="25">
        <f>'Cashflow Workings'!R11</f>
        <v>13670.744999999999</v>
      </c>
      <c r="S11" s="25">
        <f>'Cashflow Workings'!S11</f>
        <v>14613.554999999998</v>
      </c>
      <c r="T11" s="25">
        <f>'Cashflow Workings'!T11</f>
        <v>28284.3</v>
      </c>
      <c r="U11" s="25">
        <f>'Cashflow Workings'!U11</f>
        <v>29227.109999999997</v>
      </c>
      <c r="V11" s="25">
        <f>'Cashflow Workings'!V11</f>
        <v>29227.109999999997</v>
      </c>
      <c r="W11" s="25">
        <f>'Cashflow Workings'!W11</f>
        <v>14142.15</v>
      </c>
      <c r="X11" s="25">
        <f>'Cashflow Workings'!X11</f>
        <v>14613.554999999998</v>
      </c>
      <c r="Y11" s="25">
        <f>'Cashflow Workings'!Y11</f>
        <v>13670.744999999999</v>
      </c>
      <c r="Z11" s="25">
        <f>'Cashflow Workings'!Z11</f>
        <v>19484.739999999998</v>
      </c>
      <c r="AA11" s="25">
        <f>'Cashflow Workings'!AA11</f>
        <v>8485.2899999999991</v>
      </c>
      <c r="AB11" s="25">
        <f>'Cashflow Workings'!AB11</f>
        <v>13199.34</v>
      </c>
      <c r="AC11" s="25">
        <f>'Cashflow Workings'!AC11</f>
        <v>14613.554999999998</v>
      </c>
      <c r="AD11" s="25">
        <f>'P_L Workings'!AF69</f>
        <v>28284.3</v>
      </c>
      <c r="AE11" s="25">
        <f>'P_L Workings'!AG69</f>
        <v>29227.109999999997</v>
      </c>
      <c r="AF11" s="25">
        <f>'P_L Workings'!AH69</f>
        <v>29227.109999999997</v>
      </c>
      <c r="AG11" s="25">
        <f>'P_L Workings'!AI69</f>
        <v>14142.15</v>
      </c>
      <c r="AH11" s="25">
        <f>'P_L Workings'!AJ69</f>
        <v>14613.554999999998</v>
      </c>
      <c r="AI11" s="25">
        <f>'P_L Workings'!AK69</f>
        <v>13670.744999999999</v>
      </c>
      <c r="AJ11" s="25">
        <f>'P_L Workings'!AL69</f>
        <v>19484.739999999998</v>
      </c>
      <c r="AK11" s="25">
        <f>'P_L Workings'!AM69</f>
        <v>8956.6949999999997</v>
      </c>
      <c r="AL11" s="25">
        <f>'P_L Workings'!AN69</f>
        <v>12727.934999999999</v>
      </c>
      <c r="AM11" s="25">
        <f>'P_L Workings'!AO69</f>
        <v>14613.554999999998</v>
      </c>
      <c r="AN11" s="25">
        <f>'P_L Workings'!AP69</f>
        <v>22784.575000000004</v>
      </c>
      <c r="AO11" s="25">
        <f>'P_L Workings'!AQ69</f>
        <v>19484.739999999998</v>
      </c>
      <c r="AP11" s="25">
        <f>'P_L Workings'!AR69</f>
        <v>28284.3</v>
      </c>
      <c r="AQ11" s="25">
        <f>'P_L Workings'!AS69</f>
        <v>29227.109999999997</v>
      </c>
      <c r="AR11" s="25">
        <f>'P_L Workings'!AT69</f>
        <v>29227.109999999997</v>
      </c>
      <c r="AS11" s="25">
        <f>'P_L Workings'!AU69</f>
        <v>14142.15</v>
      </c>
      <c r="AT11" s="25">
        <f>'P_L Workings'!AV69</f>
        <v>14613.554999999998</v>
      </c>
      <c r="AU11" s="25">
        <f>'P_L Workings'!AW69</f>
        <v>13670.744999999999</v>
      </c>
      <c r="AV11" s="25">
        <f>'P_L Workings'!AX69</f>
        <v>19484.739999999998</v>
      </c>
      <c r="AW11" s="25">
        <f>'P_L Workings'!AY69</f>
        <v>8956.6949999999997</v>
      </c>
      <c r="AX11" s="25">
        <f>'P_L Workings'!AZ69</f>
        <v>12727.934999999999</v>
      </c>
      <c r="AY11" s="25">
        <f>'P_L Workings'!BA69</f>
        <v>14613.554999999998</v>
      </c>
      <c r="BA11" s="2">
        <f t="shared" si="0"/>
        <v>213232.19499999998</v>
      </c>
    </row>
    <row r="12" spans="1:53" ht="13" x14ac:dyDescent="0.3">
      <c r="B12" s="34" t="s">
        <v>160</v>
      </c>
      <c r="C12" s="25">
        <f t="shared" ref="C12:Q12" si="3">C11*0.175</f>
        <v>0</v>
      </c>
      <c r="D12" s="25">
        <f t="shared" si="3"/>
        <v>0</v>
      </c>
      <c r="E12" s="25">
        <f t="shared" si="3"/>
        <v>404.25</v>
      </c>
      <c r="F12" s="25">
        <f t="shared" si="3"/>
        <v>1594.9202499999999</v>
      </c>
      <c r="G12" s="25">
        <f t="shared" si="3"/>
        <v>1704.9147499999997</v>
      </c>
      <c r="H12" s="25">
        <f t="shared" si="3"/>
        <v>4124.7937500000007</v>
      </c>
      <c r="I12" s="25">
        <f t="shared" si="3"/>
        <v>4262.2868750000007</v>
      </c>
      <c r="J12" s="25">
        <f t="shared" si="3"/>
        <v>4262.2868750000007</v>
      </c>
      <c r="K12" s="25">
        <f t="shared" si="3"/>
        <v>1649.9174999999996</v>
      </c>
      <c r="L12" s="25">
        <f t="shared" si="3"/>
        <v>1704.9147499999997</v>
      </c>
      <c r="M12" s="25">
        <f t="shared" si="3"/>
        <v>1594.9202499999999</v>
      </c>
      <c r="N12" s="25">
        <f t="shared" si="3"/>
        <v>2727.8635999999997</v>
      </c>
      <c r="O12" s="25">
        <f t="shared" si="3"/>
        <v>1044.9477499999998</v>
      </c>
      <c r="P12" s="25">
        <f t="shared" si="3"/>
        <v>1484.9257499999997</v>
      </c>
      <c r="Q12" s="25">
        <f t="shared" si="3"/>
        <v>1704.9147499999997</v>
      </c>
      <c r="R12" s="25">
        <f>'Cashflow Workings'!R12</f>
        <v>2392.3803749999997</v>
      </c>
      <c r="S12" s="25">
        <f>'Cashflow Workings'!S12</f>
        <v>2557.3721249999994</v>
      </c>
      <c r="T12" s="25">
        <f>'Cashflow Workings'!T12</f>
        <v>4949.7524999999996</v>
      </c>
      <c r="U12" s="25">
        <f>'Cashflow Workings'!U12</f>
        <v>5114.7442499999988</v>
      </c>
      <c r="V12" s="25">
        <f>'Cashflow Workings'!V12</f>
        <v>5114.7442499999988</v>
      </c>
      <c r="W12" s="25">
        <f>'Cashflow Workings'!W12</f>
        <v>2474.8762499999998</v>
      </c>
      <c r="X12" s="25">
        <f>'Cashflow Workings'!X12</f>
        <v>2557.3721249999994</v>
      </c>
      <c r="Y12" s="25">
        <f>'Cashflow Workings'!Y12</f>
        <v>2392.3803749999997</v>
      </c>
      <c r="Z12" s="25">
        <f>'Cashflow Workings'!Z12</f>
        <v>3409.8294999999994</v>
      </c>
      <c r="AA12" s="25">
        <f>'Cashflow Workings'!AA12</f>
        <v>1484.9257499999997</v>
      </c>
      <c r="AB12" s="25">
        <f>'Cashflow Workings'!AB12</f>
        <v>2309.8844999999997</v>
      </c>
      <c r="AC12" s="25">
        <f>'Cashflow Workings'!AC12</f>
        <v>2557.3721249999994</v>
      </c>
      <c r="AD12" s="25">
        <f t="shared" ref="AD12:AY12" si="4">AD11*0.175</f>
        <v>4949.7524999999996</v>
      </c>
      <c r="AE12" s="25">
        <f t="shared" si="4"/>
        <v>5114.7442499999988</v>
      </c>
      <c r="AF12" s="25">
        <f t="shared" si="4"/>
        <v>5114.7442499999988</v>
      </c>
      <c r="AG12" s="25">
        <f t="shared" si="4"/>
        <v>2474.8762499999998</v>
      </c>
      <c r="AH12" s="25">
        <f t="shared" si="4"/>
        <v>2557.3721249999994</v>
      </c>
      <c r="AI12" s="25">
        <f t="shared" si="4"/>
        <v>2392.3803749999997</v>
      </c>
      <c r="AJ12" s="25">
        <f t="shared" si="4"/>
        <v>3409.8294999999994</v>
      </c>
      <c r="AK12" s="25">
        <f t="shared" si="4"/>
        <v>1567.4216249999999</v>
      </c>
      <c r="AL12" s="25">
        <f t="shared" si="4"/>
        <v>2227.3886249999996</v>
      </c>
      <c r="AM12" s="25">
        <f t="shared" si="4"/>
        <v>2557.3721249999994</v>
      </c>
      <c r="AN12" s="25">
        <f t="shared" si="4"/>
        <v>3987.3006250000003</v>
      </c>
      <c r="AO12" s="25">
        <f t="shared" si="4"/>
        <v>3409.8294999999994</v>
      </c>
      <c r="AP12" s="25">
        <f t="shared" si="4"/>
        <v>4949.7524999999996</v>
      </c>
      <c r="AQ12" s="25">
        <f t="shared" si="4"/>
        <v>5114.7442499999988</v>
      </c>
      <c r="AR12" s="25">
        <f t="shared" si="4"/>
        <v>5114.7442499999988</v>
      </c>
      <c r="AS12" s="25">
        <f t="shared" si="4"/>
        <v>2474.8762499999998</v>
      </c>
      <c r="AT12" s="25">
        <f t="shared" si="4"/>
        <v>2557.3721249999994</v>
      </c>
      <c r="AU12" s="25">
        <f t="shared" si="4"/>
        <v>2392.3803749999997</v>
      </c>
      <c r="AV12" s="25">
        <f t="shared" si="4"/>
        <v>3409.8294999999994</v>
      </c>
      <c r="AW12" s="25">
        <f t="shared" si="4"/>
        <v>1567.4216249999999</v>
      </c>
      <c r="AX12" s="25">
        <f t="shared" si="4"/>
        <v>2227.3886249999996</v>
      </c>
      <c r="AY12" s="25">
        <f t="shared" si="4"/>
        <v>2557.3721249999994</v>
      </c>
      <c r="BA12" s="2">
        <f t="shared" si="0"/>
        <v>37315.634124999997</v>
      </c>
    </row>
    <row r="13" spans="1:53" ht="13" x14ac:dyDescent="0.3">
      <c r="B13" s="34" t="s">
        <v>48</v>
      </c>
      <c r="C13" s="25">
        <f>'P_L Workings'!C74</f>
        <v>0</v>
      </c>
      <c r="D13" s="25">
        <f>'P_L Workings'!D74</f>
        <v>0</v>
      </c>
      <c r="E13" s="25">
        <f>'P_L Workings'!E74</f>
        <v>2000</v>
      </c>
      <c r="F13" s="25">
        <f>'P_L Workings'!F74</f>
        <v>20300</v>
      </c>
      <c r="G13" s="25">
        <f>'P_L Workings'!G74</f>
        <v>21700</v>
      </c>
      <c r="H13" s="25">
        <f>'P_L Workings'!H74</f>
        <v>21000</v>
      </c>
      <c r="I13" s="25">
        <f>'P_L Workings'!I74</f>
        <v>21700</v>
      </c>
      <c r="J13" s="25">
        <f>'P_L Workings'!J74</f>
        <v>21700</v>
      </c>
      <c r="K13" s="25">
        <f>'P_L Workings'!K74</f>
        <v>21000</v>
      </c>
      <c r="L13" s="25">
        <f>'P_L Workings'!L74</f>
        <v>21700</v>
      </c>
      <c r="M13" s="25">
        <f>'P_L Workings'!M74</f>
        <v>20300</v>
      </c>
      <c r="N13" s="25">
        <f>'P_L Workings'!N74</f>
        <v>21700</v>
      </c>
      <c r="O13" s="25">
        <f>'P_L Workings'!O74</f>
        <v>13300</v>
      </c>
      <c r="P13" s="25">
        <f>'P_L Workings'!P74</f>
        <v>18900</v>
      </c>
      <c r="Q13" s="25">
        <f>'P_L Workings'!Q74</f>
        <v>21700</v>
      </c>
      <c r="R13" s="25">
        <f>'Cashflow Workings'!R13</f>
        <v>20300</v>
      </c>
      <c r="S13" s="25">
        <f>'Cashflow Workings'!S13</f>
        <v>21700</v>
      </c>
      <c r="T13" s="25">
        <f>'Cashflow Workings'!T13</f>
        <v>21000</v>
      </c>
      <c r="U13" s="25">
        <f>'Cashflow Workings'!U13</f>
        <v>21700</v>
      </c>
      <c r="V13" s="25">
        <f>'Cashflow Workings'!V13</f>
        <v>21700</v>
      </c>
      <c r="W13" s="25">
        <f>'Cashflow Workings'!W13</f>
        <v>21000</v>
      </c>
      <c r="X13" s="25">
        <f>'Cashflow Workings'!X13</f>
        <v>21700</v>
      </c>
      <c r="Y13" s="25">
        <f>'Cashflow Workings'!Y13</f>
        <v>20300</v>
      </c>
      <c r="Z13" s="25">
        <f>'Cashflow Workings'!Z13</f>
        <v>21700</v>
      </c>
      <c r="AA13" s="25">
        <f>'Cashflow Workings'!AA13</f>
        <v>12600</v>
      </c>
      <c r="AB13" s="25">
        <f>'Cashflow Workings'!AB13</f>
        <v>19600</v>
      </c>
      <c r="AC13" s="25">
        <f>'Cashflow Workings'!AC13</f>
        <v>21700</v>
      </c>
      <c r="AD13" s="25">
        <f>'P_L Workings'!AF74</f>
        <v>21000</v>
      </c>
      <c r="AE13" s="25">
        <f>'P_L Workings'!AG74</f>
        <v>21700</v>
      </c>
      <c r="AF13" s="25">
        <f>'P_L Workings'!AH74</f>
        <v>21700</v>
      </c>
      <c r="AG13" s="25">
        <f>'P_L Workings'!AI74</f>
        <v>21000</v>
      </c>
      <c r="AH13" s="25">
        <f>'P_L Workings'!AJ74</f>
        <v>21700</v>
      </c>
      <c r="AI13" s="25">
        <f>'P_L Workings'!AK74</f>
        <v>20300</v>
      </c>
      <c r="AJ13" s="25">
        <f>'P_L Workings'!AL74</f>
        <v>21700</v>
      </c>
      <c r="AK13" s="25">
        <f>'P_L Workings'!AM74</f>
        <v>13300</v>
      </c>
      <c r="AL13" s="25">
        <f>'P_L Workings'!AN74</f>
        <v>18900</v>
      </c>
      <c r="AM13" s="25">
        <f>'P_L Workings'!AO74</f>
        <v>21700</v>
      </c>
      <c r="AN13" s="25">
        <f>'P_L Workings'!AP74</f>
        <v>20300</v>
      </c>
      <c r="AO13" s="25">
        <f>'P_L Workings'!AQ74</f>
        <v>21700</v>
      </c>
      <c r="AP13" s="25">
        <f>'P_L Workings'!AR74</f>
        <v>21000</v>
      </c>
      <c r="AQ13" s="25">
        <f>'P_L Workings'!AS74</f>
        <v>21700</v>
      </c>
      <c r="AR13" s="25">
        <f>'P_L Workings'!AT74</f>
        <v>21700</v>
      </c>
      <c r="AS13" s="25">
        <f>'P_L Workings'!AU74</f>
        <v>21000</v>
      </c>
      <c r="AT13" s="25">
        <f>'P_L Workings'!AV74</f>
        <v>21700</v>
      </c>
      <c r="AU13" s="25">
        <f>'P_L Workings'!AW74</f>
        <v>20300</v>
      </c>
      <c r="AV13" s="25">
        <f>'P_L Workings'!AX74</f>
        <v>21700</v>
      </c>
      <c r="AW13" s="25">
        <f>'P_L Workings'!AY74</f>
        <v>13300</v>
      </c>
      <c r="AX13" s="25">
        <f>'P_L Workings'!AZ74</f>
        <v>18900</v>
      </c>
      <c r="AY13" s="25">
        <f>'P_L Workings'!BA74</f>
        <v>21700</v>
      </c>
      <c r="BA13" s="2">
        <f t="shared" si="0"/>
        <v>245000</v>
      </c>
    </row>
    <row r="14" spans="1:53" ht="13" x14ac:dyDescent="0.3">
      <c r="B14" s="34" t="s">
        <v>184</v>
      </c>
      <c r="R14" s="25">
        <f>'Cashflow Workings'!R14</f>
        <v>3552.5</v>
      </c>
      <c r="S14" s="25">
        <f>'Cashflow Workings'!S14</f>
        <v>3797.4999999999995</v>
      </c>
      <c r="T14" s="25">
        <f>'Cashflow Workings'!T14</f>
        <v>3674.9999999999995</v>
      </c>
      <c r="U14" s="25">
        <f>'Cashflow Workings'!U14</f>
        <v>3797.4999999999995</v>
      </c>
      <c r="V14" s="25">
        <f>'Cashflow Workings'!V14</f>
        <v>3797.4999999999995</v>
      </c>
      <c r="W14" s="25">
        <f>'Cashflow Workings'!W14</f>
        <v>3674.9999999999995</v>
      </c>
      <c r="X14" s="25">
        <f>'Cashflow Workings'!X14</f>
        <v>3797.4999999999995</v>
      </c>
      <c r="Y14" s="25">
        <f>'Cashflow Workings'!Y14</f>
        <v>3552.5</v>
      </c>
      <c r="Z14" s="25">
        <f>'Cashflow Workings'!Z14</f>
        <v>3797.4999999999995</v>
      </c>
      <c r="AA14" s="25">
        <f>'Cashflow Workings'!AA14</f>
        <v>2205</v>
      </c>
      <c r="AB14" s="25">
        <f>'Cashflow Workings'!AB14</f>
        <v>3430</v>
      </c>
      <c r="AC14" s="25">
        <f>'Cashflow Workings'!AC14</f>
        <v>3797.4999999999995</v>
      </c>
      <c r="BA14" s="2">
        <f t="shared" si="0"/>
        <v>42875</v>
      </c>
    </row>
    <row r="15" spans="1:53" ht="13" x14ac:dyDescent="0.3">
      <c r="B15" s="34" t="s">
        <v>161</v>
      </c>
      <c r="BA15" s="2">
        <f t="shared" si="0"/>
        <v>0</v>
      </c>
    </row>
    <row r="16" spans="1:53" ht="13" x14ac:dyDescent="0.3">
      <c r="B16" s="34" t="s">
        <v>162</v>
      </c>
      <c r="BA16" s="2">
        <f t="shared" si="0"/>
        <v>0</v>
      </c>
    </row>
    <row r="17" spans="1:53" s="2" customFormat="1" ht="13" x14ac:dyDescent="0.3">
      <c r="C17" s="35">
        <f t="shared" ref="C17:AH17" si="5">SUM(C8:C16)</f>
        <v>1500000</v>
      </c>
      <c r="D17" s="35">
        <f t="shared" si="5"/>
        <v>0</v>
      </c>
      <c r="E17" s="35">
        <f t="shared" si="5"/>
        <v>391289.25</v>
      </c>
      <c r="F17" s="35">
        <f t="shared" si="5"/>
        <v>1664581.2877500001</v>
      </c>
      <c r="G17" s="35">
        <f t="shared" si="5"/>
        <v>1779379.99725</v>
      </c>
      <c r="H17" s="35">
        <f t="shared" si="5"/>
        <v>1839306.91875</v>
      </c>
      <c r="I17" s="35">
        <f t="shared" si="5"/>
        <v>2004683.3743750001</v>
      </c>
      <c r="J17" s="35">
        <f t="shared" si="5"/>
        <v>2004683.3743750001</v>
      </c>
      <c r="K17" s="35">
        <f t="shared" si="5"/>
        <v>1721980.6425000001</v>
      </c>
      <c r="L17" s="35">
        <f t="shared" si="5"/>
        <v>1779379.99725</v>
      </c>
      <c r="M17" s="35">
        <f t="shared" si="5"/>
        <v>1664581.2877500001</v>
      </c>
      <c r="N17" s="35">
        <f t="shared" si="5"/>
        <v>1817468.2355999998</v>
      </c>
      <c r="O17" s="35">
        <f t="shared" si="5"/>
        <v>1090587.74025</v>
      </c>
      <c r="P17" s="35">
        <f t="shared" si="5"/>
        <v>1549782.57825</v>
      </c>
      <c r="Q17" s="35">
        <f t="shared" si="5"/>
        <v>1779379.99725</v>
      </c>
      <c r="R17" s="35">
        <f t="shared" si="5"/>
        <v>1768166.40225</v>
      </c>
      <c r="S17" s="35">
        <f t="shared" si="5"/>
        <v>1890108.9127500001</v>
      </c>
      <c r="T17" s="35">
        <f t="shared" si="5"/>
        <v>1959052.59</v>
      </c>
      <c r="U17" s="35">
        <f t="shared" si="5"/>
        <v>2149233.8130000001</v>
      </c>
      <c r="V17" s="35">
        <f t="shared" si="5"/>
        <v>2149233.8130000001</v>
      </c>
      <c r="W17" s="35">
        <f t="shared" si="5"/>
        <v>1829137.6575</v>
      </c>
      <c r="X17" s="35">
        <f t="shared" si="5"/>
        <v>1890108.9127500001</v>
      </c>
      <c r="Y17" s="35">
        <f t="shared" si="5"/>
        <v>1768166.40225</v>
      </c>
      <c r="Z17" s="35">
        <f t="shared" si="5"/>
        <v>1924450.767</v>
      </c>
      <c r="AA17" s="35">
        <f t="shared" si="5"/>
        <v>1097482.5945000001</v>
      </c>
      <c r="AB17" s="35">
        <f t="shared" si="5"/>
        <v>1707195.1469999999</v>
      </c>
      <c r="AC17" s="35">
        <f t="shared" si="5"/>
        <v>1890108.9127500001</v>
      </c>
      <c r="AD17" s="35">
        <f t="shared" si="5"/>
        <v>2061626.3774999999</v>
      </c>
      <c r="AE17" s="35">
        <f t="shared" si="5"/>
        <v>2255226.7267499999</v>
      </c>
      <c r="AF17" s="35">
        <f t="shared" si="5"/>
        <v>2255226.7267499999</v>
      </c>
      <c r="AG17" s="35">
        <f t="shared" si="5"/>
        <v>1924158.25125</v>
      </c>
      <c r="AH17" s="35">
        <f t="shared" si="5"/>
        <v>1988296.859625</v>
      </c>
      <c r="AI17" s="35">
        <f t="shared" ref="AI17:AY17" si="6">SUM(AI8:AI16)</f>
        <v>1860019.6428750001</v>
      </c>
      <c r="AJ17" s="35">
        <f t="shared" si="6"/>
        <v>2025240.3695</v>
      </c>
      <c r="AK17" s="35">
        <f t="shared" si="6"/>
        <v>1218633.5591249999</v>
      </c>
      <c r="AL17" s="35">
        <f t="shared" si="6"/>
        <v>1731742.426125</v>
      </c>
      <c r="AM17" s="35">
        <f t="shared" si="6"/>
        <v>1988296.859625</v>
      </c>
      <c r="AN17" s="35">
        <f t="shared" si="6"/>
        <v>1995586.0081249997</v>
      </c>
      <c r="AO17" s="35">
        <f t="shared" si="6"/>
        <v>2096269.1195</v>
      </c>
      <c r="AP17" s="35">
        <f t="shared" si="6"/>
        <v>2130363.8774999999</v>
      </c>
      <c r="AQ17" s="35">
        <f t="shared" si="6"/>
        <v>2326255.4767499999</v>
      </c>
      <c r="AR17" s="35">
        <f t="shared" si="6"/>
        <v>2326255.4767499999</v>
      </c>
      <c r="AS17" s="35">
        <f t="shared" si="6"/>
        <v>2000448.9449999998</v>
      </c>
      <c r="AT17" s="35">
        <f t="shared" si="6"/>
        <v>2067130.5765</v>
      </c>
      <c r="AU17" s="35">
        <f t="shared" si="6"/>
        <v>1926465.8928750001</v>
      </c>
      <c r="AV17" s="35">
        <f t="shared" si="6"/>
        <v>2096269.1195</v>
      </c>
      <c r="AW17" s="35">
        <f t="shared" si="6"/>
        <v>1262167.3091250001</v>
      </c>
      <c r="AX17" s="35">
        <f t="shared" si="6"/>
        <v>1793606.176125</v>
      </c>
      <c r="AY17" s="35">
        <f t="shared" si="6"/>
        <v>2059325.609625</v>
      </c>
      <c r="BA17" s="35">
        <f>SUM(BA8:BA16)</f>
        <v>22022445.92475</v>
      </c>
    </row>
    <row r="19" spans="1:53" ht="15.5" x14ac:dyDescent="0.35">
      <c r="A19" s="26" t="s">
        <v>163</v>
      </c>
    </row>
    <row r="20" spans="1:53" ht="12.75" customHeight="1" x14ac:dyDescent="0.35">
      <c r="A20" s="26"/>
    </row>
    <row r="21" spans="1:53" ht="12.75" customHeight="1" x14ac:dyDescent="0.35">
      <c r="A21" s="26"/>
      <c r="B21" s="1" t="s">
        <v>164</v>
      </c>
      <c r="C21" s="25">
        <f>1000000</f>
        <v>1000000</v>
      </c>
    </row>
    <row r="22" spans="1:53" s="13" customFormat="1" ht="12.75" customHeight="1" x14ac:dyDescent="0.3">
      <c r="B22" s="61" t="s">
        <v>21</v>
      </c>
      <c r="C22" s="33">
        <f>'P_L Workings'!C84</f>
        <v>0</v>
      </c>
      <c r="D22" s="33">
        <f>'P_L Workings'!D84</f>
        <v>0</v>
      </c>
      <c r="E22" s="33">
        <f>'P_L Workings'!E84</f>
        <v>0</v>
      </c>
      <c r="F22" s="33">
        <f>'P_L Workings'!F84</f>
        <v>0</v>
      </c>
      <c r="G22" s="33">
        <f>'P_L Workings'!G84</f>
        <v>0</v>
      </c>
      <c r="H22" s="33">
        <f>'P_L Workings'!H84</f>
        <v>0</v>
      </c>
      <c r="I22" s="33">
        <f>'P_L Workings'!I84</f>
        <v>0</v>
      </c>
      <c r="J22" s="33">
        <f>'P_L Workings'!J84</f>
        <v>0</v>
      </c>
      <c r="K22" s="33">
        <f>'P_L Workings'!K84</f>
        <v>0</v>
      </c>
      <c r="L22" s="33">
        <f>'P_L Workings'!L84</f>
        <v>0</v>
      </c>
      <c r="M22" s="33">
        <f>'P_L Workings'!M84</f>
        <v>0</v>
      </c>
      <c r="N22" s="33">
        <f>'P_L Workings'!N84</f>
        <v>0</v>
      </c>
      <c r="O22" s="33">
        <f>'P_L Workings'!O84</f>
        <v>0</v>
      </c>
      <c r="P22" s="33">
        <f>'P_L Workings'!P84</f>
        <v>0</v>
      </c>
      <c r="Q22" s="33">
        <f>'P_L Workings'!Q84</f>
        <v>0</v>
      </c>
      <c r="R22" s="33">
        <f>'Cashflow Workings'!R22</f>
        <v>0</v>
      </c>
      <c r="S22" s="33">
        <f>'Cashflow Workings'!S22</f>
        <v>0</v>
      </c>
      <c r="T22" s="33">
        <f>'Cashflow Workings'!T22</f>
        <v>0</v>
      </c>
      <c r="U22" s="33">
        <f>'Cashflow Workings'!U22</f>
        <v>0</v>
      </c>
      <c r="V22" s="33">
        <f>'Cashflow Workings'!V22</f>
        <v>0</v>
      </c>
      <c r="W22" s="33">
        <f>'Cashflow Workings'!W22</f>
        <v>0</v>
      </c>
      <c r="X22" s="33">
        <f>'Cashflow Workings'!X22</f>
        <v>0</v>
      </c>
      <c r="Y22" s="33">
        <f>'Cashflow Workings'!Y22</f>
        <v>0</v>
      </c>
      <c r="Z22" s="33">
        <f>'Cashflow Workings'!Z22</f>
        <v>0</v>
      </c>
      <c r="AA22" s="33">
        <f>'Cashflow Workings'!AA22</f>
        <v>0</v>
      </c>
      <c r="AB22" s="33">
        <f>'Cashflow Workings'!AB22</f>
        <v>0</v>
      </c>
      <c r="AC22" s="33">
        <f>'Cashflow Workings'!AC22</f>
        <v>0</v>
      </c>
      <c r="AD22" s="33">
        <f>'P_L Workings'!AF84</f>
        <v>0</v>
      </c>
      <c r="AE22" s="33">
        <f>'P_L Workings'!AG84</f>
        <v>0</v>
      </c>
      <c r="AF22" s="33">
        <f>'P_L Workings'!AH84</f>
        <v>0</v>
      </c>
      <c r="AG22" s="33">
        <f>'P_L Workings'!AI84</f>
        <v>0</v>
      </c>
      <c r="AH22" s="33">
        <f>'P_L Workings'!AJ84</f>
        <v>0</v>
      </c>
      <c r="AI22" s="33">
        <f>'P_L Workings'!AK84</f>
        <v>0</v>
      </c>
      <c r="AJ22" s="33">
        <f>'P_L Workings'!AL84</f>
        <v>0</v>
      </c>
      <c r="AK22" s="33">
        <f>'P_L Workings'!AM84</f>
        <v>0</v>
      </c>
      <c r="AL22" s="33">
        <f>'P_L Workings'!AN84</f>
        <v>0</v>
      </c>
      <c r="AM22" s="33">
        <f>'P_L Workings'!AO84</f>
        <v>0</v>
      </c>
      <c r="AN22" s="33">
        <f>'P_L Workings'!AP84</f>
        <v>0</v>
      </c>
      <c r="AO22" s="33">
        <f>'P_L Workings'!AQ84</f>
        <v>0</v>
      </c>
      <c r="AP22" s="33">
        <f>'P_L Workings'!AR84</f>
        <v>0</v>
      </c>
      <c r="AQ22" s="33">
        <f>'P_L Workings'!AS84</f>
        <v>0</v>
      </c>
      <c r="AR22" s="33">
        <f>'P_L Workings'!AT84</f>
        <v>0</v>
      </c>
      <c r="AS22" s="33">
        <f>'P_L Workings'!AU84</f>
        <v>0</v>
      </c>
      <c r="AT22" s="33">
        <f>'P_L Workings'!AV84</f>
        <v>0</v>
      </c>
      <c r="AU22" s="33">
        <f>'P_L Workings'!AW84</f>
        <v>0</v>
      </c>
      <c r="AV22" s="33">
        <f>'P_L Workings'!AX84</f>
        <v>0</v>
      </c>
      <c r="AW22" s="33">
        <f>'P_L Workings'!AY84</f>
        <v>0</v>
      </c>
      <c r="AX22" s="33">
        <f>'P_L Workings'!AZ84</f>
        <v>0</v>
      </c>
      <c r="AY22" s="33">
        <f>'P_L Workings'!BA84</f>
        <v>0</v>
      </c>
      <c r="BA22" s="2">
        <f t="shared" ref="BA22:BA36" si="7">SUM(R22:AC22)</f>
        <v>0</v>
      </c>
    </row>
    <row r="23" spans="1:53" s="13" customFormat="1" ht="12.75" customHeight="1" x14ac:dyDescent="0.3">
      <c r="B23" s="61" t="s">
        <v>165</v>
      </c>
      <c r="C23" s="62">
        <f t="shared" ref="C23:Q23" si="8">C22*0.175</f>
        <v>0</v>
      </c>
      <c r="D23" s="62">
        <f t="shared" si="8"/>
        <v>0</v>
      </c>
      <c r="E23" s="62">
        <f t="shared" si="8"/>
        <v>0</v>
      </c>
      <c r="F23" s="62">
        <f t="shared" si="8"/>
        <v>0</v>
      </c>
      <c r="G23" s="62">
        <f t="shared" si="8"/>
        <v>0</v>
      </c>
      <c r="H23" s="62">
        <f t="shared" si="8"/>
        <v>0</v>
      </c>
      <c r="I23" s="62">
        <f t="shared" si="8"/>
        <v>0</v>
      </c>
      <c r="J23" s="62">
        <f t="shared" si="8"/>
        <v>0</v>
      </c>
      <c r="K23" s="62">
        <f t="shared" si="8"/>
        <v>0</v>
      </c>
      <c r="L23" s="62">
        <f t="shared" si="8"/>
        <v>0</v>
      </c>
      <c r="M23" s="62">
        <f t="shared" si="8"/>
        <v>0</v>
      </c>
      <c r="N23" s="62">
        <f t="shared" si="8"/>
        <v>0</v>
      </c>
      <c r="O23" s="62">
        <f t="shared" si="8"/>
        <v>0</v>
      </c>
      <c r="P23" s="62">
        <f t="shared" si="8"/>
        <v>0</v>
      </c>
      <c r="Q23" s="62">
        <f t="shared" si="8"/>
        <v>0</v>
      </c>
      <c r="R23" s="33">
        <f>'Cashflow Workings'!R23</f>
        <v>0</v>
      </c>
      <c r="S23" s="33">
        <f>'Cashflow Workings'!S23</f>
        <v>0</v>
      </c>
      <c r="T23" s="33">
        <f>'Cashflow Workings'!T23</f>
        <v>0</v>
      </c>
      <c r="U23" s="33">
        <f>'Cashflow Workings'!U23</f>
        <v>0</v>
      </c>
      <c r="V23" s="33">
        <f>'Cashflow Workings'!V23</f>
        <v>0</v>
      </c>
      <c r="W23" s="33">
        <f>'Cashflow Workings'!W23</f>
        <v>0</v>
      </c>
      <c r="X23" s="33">
        <f>'Cashflow Workings'!X23</f>
        <v>0</v>
      </c>
      <c r="Y23" s="33">
        <f>'Cashflow Workings'!Y23</f>
        <v>0</v>
      </c>
      <c r="Z23" s="33">
        <f>'Cashflow Workings'!Z23</f>
        <v>0</v>
      </c>
      <c r="AA23" s="33">
        <f>'Cashflow Workings'!AA23</f>
        <v>0</v>
      </c>
      <c r="AB23" s="33">
        <f>'Cashflow Workings'!AB23</f>
        <v>0</v>
      </c>
      <c r="AC23" s="33">
        <f>'Cashflow Workings'!AC23</f>
        <v>0</v>
      </c>
      <c r="AD23" s="62">
        <f t="shared" ref="AD23:AY23" si="9">AD22*0.175</f>
        <v>0</v>
      </c>
      <c r="AE23" s="62">
        <f t="shared" si="9"/>
        <v>0</v>
      </c>
      <c r="AF23" s="62">
        <f t="shared" si="9"/>
        <v>0</v>
      </c>
      <c r="AG23" s="62">
        <f t="shared" si="9"/>
        <v>0</v>
      </c>
      <c r="AH23" s="62">
        <f t="shared" si="9"/>
        <v>0</v>
      </c>
      <c r="AI23" s="62">
        <f t="shared" si="9"/>
        <v>0</v>
      </c>
      <c r="AJ23" s="62">
        <f t="shared" si="9"/>
        <v>0</v>
      </c>
      <c r="AK23" s="62">
        <f t="shared" si="9"/>
        <v>0</v>
      </c>
      <c r="AL23" s="62">
        <f t="shared" si="9"/>
        <v>0</v>
      </c>
      <c r="AM23" s="62">
        <f t="shared" si="9"/>
        <v>0</v>
      </c>
      <c r="AN23" s="62">
        <f t="shared" si="9"/>
        <v>0</v>
      </c>
      <c r="AO23" s="62">
        <f t="shared" si="9"/>
        <v>0</v>
      </c>
      <c r="AP23" s="62">
        <f t="shared" si="9"/>
        <v>0</v>
      </c>
      <c r="AQ23" s="62">
        <f t="shared" si="9"/>
        <v>0</v>
      </c>
      <c r="AR23" s="62">
        <f t="shared" si="9"/>
        <v>0</v>
      </c>
      <c r="AS23" s="62">
        <f t="shared" si="9"/>
        <v>0</v>
      </c>
      <c r="AT23" s="62">
        <f t="shared" si="9"/>
        <v>0</v>
      </c>
      <c r="AU23" s="62">
        <f t="shared" si="9"/>
        <v>0</v>
      </c>
      <c r="AV23" s="62">
        <f t="shared" si="9"/>
        <v>0</v>
      </c>
      <c r="AW23" s="62">
        <f t="shared" si="9"/>
        <v>0</v>
      </c>
      <c r="AX23" s="62">
        <f t="shared" si="9"/>
        <v>0</v>
      </c>
      <c r="AY23" s="62">
        <f t="shared" si="9"/>
        <v>0</v>
      </c>
      <c r="BA23" s="2">
        <f t="shared" si="7"/>
        <v>0</v>
      </c>
    </row>
    <row r="24" spans="1:53" ht="12.75" customHeight="1" x14ac:dyDescent="0.3">
      <c r="B24" s="63" t="s">
        <v>107</v>
      </c>
      <c r="C24" s="45">
        <f>'P_L Workings'!C91</f>
        <v>0</v>
      </c>
      <c r="D24" s="45">
        <f>'P_L Workings'!D91</f>
        <v>0</v>
      </c>
      <c r="E24" s="45">
        <f>'P_L Workings'!E91</f>
        <v>10357.142857142859</v>
      </c>
      <c r="F24" s="45">
        <f>'P_L Workings'!F91</f>
        <v>20714.285714285717</v>
      </c>
      <c r="G24" s="45">
        <f>'P_L Workings'!G91</f>
        <v>22142.857142857145</v>
      </c>
      <c r="H24" s="45">
        <f>'P_L Workings'!H91</f>
        <v>21428.571428571431</v>
      </c>
      <c r="I24" s="45">
        <f>'P_L Workings'!I91</f>
        <v>22142.857142857145</v>
      </c>
      <c r="J24" s="45">
        <f>'P_L Workings'!J91</f>
        <v>22142.857142857145</v>
      </c>
      <c r="K24" s="45">
        <f>'P_L Workings'!K91</f>
        <v>21428.571428571431</v>
      </c>
      <c r="L24" s="45">
        <f>'P_L Workings'!L91</f>
        <v>22142.857142857145</v>
      </c>
      <c r="M24" s="45">
        <f>'P_L Workings'!M91</f>
        <v>20714.285714285717</v>
      </c>
      <c r="N24" s="45">
        <f>'P_L Workings'!N91</f>
        <v>22142.857142857145</v>
      </c>
      <c r="O24" s="45">
        <f>'P_L Workings'!O91</f>
        <v>13571.428571428572</v>
      </c>
      <c r="P24" s="45">
        <f>'P_L Workings'!P91</f>
        <v>19285.714285714286</v>
      </c>
      <c r="Q24" s="45">
        <f>'P_L Workings'!Q91</f>
        <v>22142.857142857145</v>
      </c>
      <c r="R24" s="33">
        <f>'Cashflow Workings'!R24</f>
        <v>20714.285714285717</v>
      </c>
      <c r="S24" s="33">
        <f>'Cashflow Workings'!S24</f>
        <v>22142.857142857145</v>
      </c>
      <c r="T24" s="33">
        <f>'Cashflow Workings'!T24</f>
        <v>21428.571428571431</v>
      </c>
      <c r="U24" s="33">
        <f>'Cashflow Workings'!U24</f>
        <v>22142.857142857145</v>
      </c>
      <c r="V24" s="33">
        <f>'Cashflow Workings'!V24</f>
        <v>22142.857142857145</v>
      </c>
      <c r="W24" s="33">
        <f>'Cashflow Workings'!W24</f>
        <v>21428.571428571431</v>
      </c>
      <c r="X24" s="33">
        <f>'Cashflow Workings'!X24</f>
        <v>22142.857142857145</v>
      </c>
      <c r="Y24" s="33">
        <f>'Cashflow Workings'!Y24</f>
        <v>20714.285714285717</v>
      </c>
      <c r="Z24" s="33">
        <f>'Cashflow Workings'!Z24</f>
        <v>22142.857142857145</v>
      </c>
      <c r="AA24" s="33">
        <f>'Cashflow Workings'!AA24</f>
        <v>12857.142857142859</v>
      </c>
      <c r="AB24" s="33">
        <f>'Cashflow Workings'!AB24</f>
        <v>20000</v>
      </c>
      <c r="AC24" s="33">
        <f>'Cashflow Workings'!AC24</f>
        <v>22142.857142857145</v>
      </c>
      <c r="AD24" s="45">
        <f>'P_L Workings'!AF91</f>
        <v>21428.571428571431</v>
      </c>
      <c r="AE24" s="45">
        <f>'P_L Workings'!AG91</f>
        <v>22142.857142857145</v>
      </c>
      <c r="AF24" s="45">
        <f>'P_L Workings'!AH91</f>
        <v>22142.857142857145</v>
      </c>
      <c r="AG24" s="45">
        <f>'P_L Workings'!AI91</f>
        <v>21428.571428571431</v>
      </c>
      <c r="AH24" s="45">
        <f>'P_L Workings'!AJ91</f>
        <v>22142.857142857145</v>
      </c>
      <c r="AI24" s="45">
        <f>'P_L Workings'!AK91</f>
        <v>20714.285714285717</v>
      </c>
      <c r="AJ24" s="45">
        <f>'P_L Workings'!AL91</f>
        <v>22142.857142857145</v>
      </c>
      <c r="AK24" s="45">
        <f>'P_L Workings'!AM91</f>
        <v>13571.428571428572</v>
      </c>
      <c r="AL24" s="45">
        <f>'P_L Workings'!AN91</f>
        <v>19285.714285714286</v>
      </c>
      <c r="AM24" s="45">
        <f>'P_L Workings'!AO91</f>
        <v>22142.857142857145</v>
      </c>
      <c r="AN24" s="45">
        <f>'P_L Workings'!AP91</f>
        <v>20714.285714285717</v>
      </c>
      <c r="AO24" s="45">
        <f>'P_L Workings'!AQ91</f>
        <v>22142.857142857145</v>
      </c>
      <c r="AP24" s="45">
        <f>'P_L Workings'!AR91</f>
        <v>21428.571428571431</v>
      </c>
      <c r="AQ24" s="45">
        <f>'P_L Workings'!AS91</f>
        <v>22142.857142857145</v>
      </c>
      <c r="AR24" s="45">
        <f>'P_L Workings'!AT91</f>
        <v>22142.857142857145</v>
      </c>
      <c r="AS24" s="45">
        <f>'P_L Workings'!AU91</f>
        <v>21428.571428571431</v>
      </c>
      <c r="AT24" s="45">
        <f>'P_L Workings'!AV91</f>
        <v>22142.857142857145</v>
      </c>
      <c r="AU24" s="45">
        <f>'P_L Workings'!AW91</f>
        <v>20714.285714285717</v>
      </c>
      <c r="AV24" s="45">
        <f>'P_L Workings'!AX91</f>
        <v>22142.857142857145</v>
      </c>
      <c r="AW24" s="45">
        <f>'P_L Workings'!AY91</f>
        <v>13571.428571428572</v>
      </c>
      <c r="AX24" s="45">
        <f>'P_L Workings'!AZ91</f>
        <v>19285.714285714286</v>
      </c>
      <c r="AY24" s="45">
        <f>'P_L Workings'!BA91</f>
        <v>22142.857142857145</v>
      </c>
      <c r="BA24" s="2">
        <f t="shared" si="7"/>
        <v>250000</v>
      </c>
    </row>
    <row r="25" spans="1:53" ht="12.75" customHeight="1" x14ac:dyDescent="0.3">
      <c r="B25" s="61" t="s">
        <v>166</v>
      </c>
      <c r="C25" s="45">
        <f t="shared" ref="C25:Q25" si="10">C24*0.175*0.5</f>
        <v>0</v>
      </c>
      <c r="D25" s="45">
        <f t="shared" si="10"/>
        <v>0</v>
      </c>
      <c r="E25" s="45">
        <f t="shared" si="10"/>
        <v>906.25000000000011</v>
      </c>
      <c r="F25" s="45">
        <f t="shared" si="10"/>
        <v>1812.5000000000002</v>
      </c>
      <c r="G25" s="45">
        <f t="shared" si="10"/>
        <v>1937.5</v>
      </c>
      <c r="H25" s="45">
        <f t="shared" si="10"/>
        <v>1875</v>
      </c>
      <c r="I25" s="45">
        <f t="shared" si="10"/>
        <v>1937.5</v>
      </c>
      <c r="J25" s="45">
        <f t="shared" si="10"/>
        <v>1937.5</v>
      </c>
      <c r="K25" s="45">
        <f t="shared" si="10"/>
        <v>1875</v>
      </c>
      <c r="L25" s="45">
        <f t="shared" si="10"/>
        <v>1937.5</v>
      </c>
      <c r="M25" s="45">
        <f t="shared" si="10"/>
        <v>1812.5000000000002</v>
      </c>
      <c r="N25" s="45">
        <f t="shared" si="10"/>
        <v>1937.5</v>
      </c>
      <c r="O25" s="45">
        <f t="shared" si="10"/>
        <v>1187.5</v>
      </c>
      <c r="P25" s="45">
        <f t="shared" si="10"/>
        <v>1687.5</v>
      </c>
      <c r="Q25" s="45">
        <f t="shared" si="10"/>
        <v>1937.5</v>
      </c>
      <c r="R25" s="33">
        <f>'Cashflow Workings'!R25</f>
        <v>1812.5000000000002</v>
      </c>
      <c r="S25" s="33">
        <f>'Cashflow Workings'!S25</f>
        <v>1937.5</v>
      </c>
      <c r="T25" s="33">
        <f>'Cashflow Workings'!T25</f>
        <v>1875</v>
      </c>
      <c r="U25" s="33">
        <f>'Cashflow Workings'!U25</f>
        <v>1937.5</v>
      </c>
      <c r="V25" s="33">
        <f>'Cashflow Workings'!V25</f>
        <v>1937.5</v>
      </c>
      <c r="W25" s="33">
        <f>'Cashflow Workings'!W25</f>
        <v>1875</v>
      </c>
      <c r="X25" s="33">
        <f>'Cashflow Workings'!X25</f>
        <v>1937.5</v>
      </c>
      <c r="Y25" s="33">
        <f>'Cashflow Workings'!Y25</f>
        <v>1812.5000000000002</v>
      </c>
      <c r="Z25" s="33">
        <f>'Cashflow Workings'!Z25</f>
        <v>1937.5</v>
      </c>
      <c r="AA25" s="33">
        <f>'Cashflow Workings'!AA25</f>
        <v>1125</v>
      </c>
      <c r="AB25" s="33">
        <f>'Cashflow Workings'!AB25</f>
        <v>1750</v>
      </c>
      <c r="AC25" s="33">
        <f>'Cashflow Workings'!AC25</f>
        <v>1937.5</v>
      </c>
      <c r="AD25" s="45">
        <f t="shared" ref="AD25:AY25" si="11">AD24*0.175*0.5</f>
        <v>1875</v>
      </c>
      <c r="AE25" s="45">
        <f t="shared" si="11"/>
        <v>1937.5</v>
      </c>
      <c r="AF25" s="45">
        <f t="shared" si="11"/>
        <v>1937.5</v>
      </c>
      <c r="AG25" s="45">
        <f t="shared" si="11"/>
        <v>1875</v>
      </c>
      <c r="AH25" s="45">
        <f t="shared" si="11"/>
        <v>1937.5</v>
      </c>
      <c r="AI25" s="45">
        <f t="shared" si="11"/>
        <v>1812.5000000000002</v>
      </c>
      <c r="AJ25" s="45">
        <f t="shared" si="11"/>
        <v>1937.5</v>
      </c>
      <c r="AK25" s="45">
        <f t="shared" si="11"/>
        <v>1187.5</v>
      </c>
      <c r="AL25" s="45">
        <f t="shared" si="11"/>
        <v>1687.5</v>
      </c>
      <c r="AM25" s="45">
        <f t="shared" si="11"/>
        <v>1937.5</v>
      </c>
      <c r="AN25" s="45">
        <f t="shared" si="11"/>
        <v>1812.5000000000002</v>
      </c>
      <c r="AO25" s="45">
        <f t="shared" si="11"/>
        <v>1937.5</v>
      </c>
      <c r="AP25" s="45">
        <f t="shared" si="11"/>
        <v>1875</v>
      </c>
      <c r="AQ25" s="45">
        <f t="shared" si="11"/>
        <v>1937.5</v>
      </c>
      <c r="AR25" s="45">
        <f t="shared" si="11"/>
        <v>1937.5</v>
      </c>
      <c r="AS25" s="45">
        <f t="shared" si="11"/>
        <v>1875</v>
      </c>
      <c r="AT25" s="45">
        <f t="shared" si="11"/>
        <v>1937.5</v>
      </c>
      <c r="AU25" s="45">
        <f t="shared" si="11"/>
        <v>1812.5000000000002</v>
      </c>
      <c r="AV25" s="45">
        <f t="shared" si="11"/>
        <v>1937.5</v>
      </c>
      <c r="AW25" s="45">
        <f t="shared" si="11"/>
        <v>1187.5</v>
      </c>
      <c r="AX25" s="45">
        <f t="shared" si="11"/>
        <v>1687.5</v>
      </c>
      <c r="AY25" s="45">
        <f t="shared" si="11"/>
        <v>1937.5</v>
      </c>
      <c r="BA25" s="2">
        <f t="shared" si="7"/>
        <v>21875</v>
      </c>
    </row>
    <row r="26" spans="1:53" ht="12.75" customHeight="1" x14ac:dyDescent="0.3">
      <c r="B26" s="61" t="s">
        <v>167</v>
      </c>
      <c r="C26" s="45">
        <f>'P_L Workings'!C142</f>
        <v>0</v>
      </c>
      <c r="D26" s="45">
        <f>'P_L Workings'!D142</f>
        <v>0</v>
      </c>
      <c r="E26" s="45">
        <f>'P_L Workings'!E142</f>
        <v>296779.09794871794</v>
      </c>
      <c r="F26" s="45">
        <f>'P_L Workings'!F142</f>
        <v>1236989.6933333334</v>
      </c>
      <c r="G26" s="45">
        <f>'P_L Workings'!G142</f>
        <v>1285996.3733333333</v>
      </c>
      <c r="H26" s="45">
        <f>'P_L Workings'!H142</f>
        <v>1261493.0333333332</v>
      </c>
      <c r="I26" s="45">
        <f>'P_L Workings'!I142</f>
        <v>1285996.3733333333</v>
      </c>
      <c r="J26" s="45">
        <f>'P_L Workings'!J142</f>
        <v>1285996.3733333333</v>
      </c>
      <c r="K26" s="45">
        <f>'P_L Workings'!K142</f>
        <v>1261493.0333333332</v>
      </c>
      <c r="L26" s="45">
        <f>'P_L Workings'!L142</f>
        <v>1285996.3733333333</v>
      </c>
      <c r="M26" s="45">
        <f>'P_L Workings'!M142</f>
        <v>1236989.6933333334</v>
      </c>
      <c r="N26" s="45">
        <f>'P_L Workings'!N142</f>
        <v>1285996.3733333333</v>
      </c>
      <c r="O26" s="45">
        <f>'P_L Workings'!O142</f>
        <v>991956.29333333333</v>
      </c>
      <c r="P26" s="45">
        <f>'P_L Workings'!P142</f>
        <v>1187983.0133333334</v>
      </c>
      <c r="Q26" s="45">
        <f>'P_L Workings'!Q142</f>
        <v>1285996.3733333333</v>
      </c>
      <c r="R26" s="33">
        <f>'Cashflow Workings'!R26</f>
        <v>1236989.6933333334</v>
      </c>
      <c r="S26" s="33">
        <f>'Cashflow Workings'!S26</f>
        <v>1285996.3733333333</v>
      </c>
      <c r="T26" s="33">
        <f>'Cashflow Workings'!T26</f>
        <v>1261493.0333333332</v>
      </c>
      <c r="U26" s="33">
        <f>'Cashflow Workings'!U26</f>
        <v>1285996.3733333333</v>
      </c>
      <c r="V26" s="33">
        <f>'Cashflow Workings'!V26</f>
        <v>1285996.3733333333</v>
      </c>
      <c r="W26" s="33">
        <f>'Cashflow Workings'!W26</f>
        <v>1261493.0333333332</v>
      </c>
      <c r="X26" s="33">
        <f>'Cashflow Workings'!X26</f>
        <v>1285996.3733333333</v>
      </c>
      <c r="Y26" s="33">
        <f>'Cashflow Workings'!Y26</f>
        <v>1236989.6933333334</v>
      </c>
      <c r="Z26" s="33">
        <f>'Cashflow Workings'!Z26</f>
        <v>1285996.3733333333</v>
      </c>
      <c r="AA26" s="33">
        <f>'Cashflow Workings'!AA26</f>
        <v>967452.95333333337</v>
      </c>
      <c r="AB26" s="33">
        <f>'Cashflow Workings'!AB26</f>
        <v>1212486.3533333333</v>
      </c>
      <c r="AC26" s="33">
        <f>'Cashflow Workings'!AC26</f>
        <v>1285996.3733333333</v>
      </c>
      <c r="AD26" s="45">
        <f>'P_L Workings'!AF142</f>
        <v>1261493.0333333332</v>
      </c>
      <c r="AE26" s="45">
        <f>'P_L Workings'!AG142</f>
        <v>1285996.3733333333</v>
      </c>
      <c r="AF26" s="45">
        <f>'P_L Workings'!AH142</f>
        <v>1285996.3733333333</v>
      </c>
      <c r="AG26" s="45">
        <f>'P_L Workings'!AI142</f>
        <v>1261493.0333333332</v>
      </c>
      <c r="AH26" s="45">
        <f>'P_L Workings'!AJ142</f>
        <v>1285996.3733333333</v>
      </c>
      <c r="AI26" s="45">
        <f>'P_L Workings'!AK142</f>
        <v>1236989.6933333334</v>
      </c>
      <c r="AJ26" s="45">
        <f>'P_L Workings'!AL142</f>
        <v>1285996.3733333333</v>
      </c>
      <c r="AK26" s="45">
        <f>'P_L Workings'!AM142</f>
        <v>991956.29333333333</v>
      </c>
      <c r="AL26" s="45">
        <f>'P_L Workings'!AN142</f>
        <v>1187983.0133333334</v>
      </c>
      <c r="AM26" s="45">
        <f>'P_L Workings'!AO142</f>
        <v>1285996.3733333333</v>
      </c>
      <c r="AN26" s="45">
        <f>'P_L Workings'!AP142</f>
        <v>1236989.6933333334</v>
      </c>
      <c r="AO26" s="45">
        <f>'P_L Workings'!AQ142</f>
        <v>1285996.3733333333</v>
      </c>
      <c r="AP26" s="45">
        <f>'P_L Workings'!AR142</f>
        <v>1261493.0333333332</v>
      </c>
      <c r="AQ26" s="45">
        <f>'P_L Workings'!AS142</f>
        <v>1285996.3733333333</v>
      </c>
      <c r="AR26" s="45">
        <f>'P_L Workings'!AT142</f>
        <v>1285996.3733333333</v>
      </c>
      <c r="AS26" s="45">
        <f>'P_L Workings'!AU142</f>
        <v>1261493.0333333332</v>
      </c>
      <c r="AT26" s="45">
        <f>'P_L Workings'!AV142</f>
        <v>1285996.3733333333</v>
      </c>
      <c r="AU26" s="45">
        <f>'P_L Workings'!AW142</f>
        <v>1236989.6933333334</v>
      </c>
      <c r="AV26" s="45">
        <f>'P_L Workings'!AX142</f>
        <v>1285996.3733333333</v>
      </c>
      <c r="AW26" s="45">
        <f>'P_L Workings'!AY142</f>
        <v>991956.29333333333</v>
      </c>
      <c r="AX26" s="45">
        <f>'P_L Workings'!AZ142</f>
        <v>1187983.0133333334</v>
      </c>
      <c r="AY26" s="45">
        <f>'P_L Workings'!BA142</f>
        <v>1285996.3733333333</v>
      </c>
      <c r="BA26" s="2">
        <f t="shared" si="7"/>
        <v>14892882.999999998</v>
      </c>
    </row>
    <row r="27" spans="1:53" ht="12.75" customHeight="1" x14ac:dyDescent="0.3">
      <c r="B27" s="61" t="s">
        <v>168</v>
      </c>
      <c r="C27" s="45">
        <f t="shared" ref="C27:Q27" si="12">C26*0.1</f>
        <v>0</v>
      </c>
      <c r="D27" s="45">
        <f t="shared" si="12"/>
        <v>0</v>
      </c>
      <c r="E27" s="45">
        <f t="shared" si="12"/>
        <v>29677.909794871797</v>
      </c>
      <c r="F27" s="45">
        <f t="shared" si="12"/>
        <v>123698.96933333334</v>
      </c>
      <c r="G27" s="45">
        <f t="shared" si="12"/>
        <v>128599.63733333333</v>
      </c>
      <c r="H27" s="45">
        <f t="shared" si="12"/>
        <v>126149.30333333333</v>
      </c>
      <c r="I27" s="45">
        <f t="shared" si="12"/>
        <v>128599.63733333333</v>
      </c>
      <c r="J27" s="45">
        <f t="shared" si="12"/>
        <v>128599.63733333333</v>
      </c>
      <c r="K27" s="45">
        <f t="shared" si="12"/>
        <v>126149.30333333333</v>
      </c>
      <c r="L27" s="45">
        <f t="shared" si="12"/>
        <v>128599.63733333333</v>
      </c>
      <c r="M27" s="45">
        <f t="shared" si="12"/>
        <v>123698.96933333334</v>
      </c>
      <c r="N27" s="45">
        <f t="shared" si="12"/>
        <v>128599.63733333333</v>
      </c>
      <c r="O27" s="45">
        <f t="shared" si="12"/>
        <v>99195.629333333345</v>
      </c>
      <c r="P27" s="45">
        <f t="shared" si="12"/>
        <v>118798.30133333335</v>
      </c>
      <c r="Q27" s="45">
        <f t="shared" si="12"/>
        <v>128599.63733333333</v>
      </c>
      <c r="R27" s="33">
        <f>'Cashflow Workings'!R27</f>
        <v>123698.96933333334</v>
      </c>
      <c r="S27" s="33">
        <f>'Cashflow Workings'!S27</f>
        <v>128599.63733333333</v>
      </c>
      <c r="T27" s="33">
        <f>'Cashflow Workings'!T27</f>
        <v>126149.30333333333</v>
      </c>
      <c r="U27" s="33">
        <f>'Cashflow Workings'!U27</f>
        <v>128599.63733333333</v>
      </c>
      <c r="V27" s="33">
        <f>'Cashflow Workings'!V27</f>
        <v>128599.63733333333</v>
      </c>
      <c r="W27" s="33">
        <f>'Cashflow Workings'!W27</f>
        <v>126149.30333333333</v>
      </c>
      <c r="X27" s="33">
        <f>'Cashflow Workings'!X27</f>
        <v>128599.63733333333</v>
      </c>
      <c r="Y27" s="33">
        <f>'Cashflow Workings'!Y27</f>
        <v>123698.96933333334</v>
      </c>
      <c r="Z27" s="33">
        <f>'Cashflow Workings'!Z27</f>
        <v>128599.63733333333</v>
      </c>
      <c r="AA27" s="33">
        <f>'Cashflow Workings'!AA27</f>
        <v>96745.295333333343</v>
      </c>
      <c r="AB27" s="33">
        <f>'Cashflow Workings'!AB27</f>
        <v>121248.63533333334</v>
      </c>
      <c r="AC27" s="33">
        <f>'Cashflow Workings'!AC27</f>
        <v>128599.63733333333</v>
      </c>
      <c r="AD27" s="45">
        <f t="shared" ref="AD27:AY27" si="13">AD26*0.1</f>
        <v>126149.30333333333</v>
      </c>
      <c r="AE27" s="45">
        <f t="shared" si="13"/>
        <v>128599.63733333333</v>
      </c>
      <c r="AF27" s="45">
        <f t="shared" si="13"/>
        <v>128599.63733333333</v>
      </c>
      <c r="AG27" s="45">
        <f t="shared" si="13"/>
        <v>126149.30333333333</v>
      </c>
      <c r="AH27" s="45">
        <f t="shared" si="13"/>
        <v>128599.63733333333</v>
      </c>
      <c r="AI27" s="45">
        <f t="shared" si="13"/>
        <v>123698.96933333334</v>
      </c>
      <c r="AJ27" s="45">
        <f t="shared" si="13"/>
        <v>128599.63733333333</v>
      </c>
      <c r="AK27" s="45">
        <f t="shared" si="13"/>
        <v>99195.629333333345</v>
      </c>
      <c r="AL27" s="45">
        <f t="shared" si="13"/>
        <v>118798.30133333335</v>
      </c>
      <c r="AM27" s="45">
        <f t="shared" si="13"/>
        <v>128599.63733333333</v>
      </c>
      <c r="AN27" s="45">
        <f t="shared" si="13"/>
        <v>123698.96933333334</v>
      </c>
      <c r="AO27" s="45">
        <f t="shared" si="13"/>
        <v>128599.63733333333</v>
      </c>
      <c r="AP27" s="45">
        <f t="shared" si="13"/>
        <v>126149.30333333333</v>
      </c>
      <c r="AQ27" s="45">
        <f t="shared" si="13"/>
        <v>128599.63733333333</v>
      </c>
      <c r="AR27" s="45">
        <f t="shared" si="13"/>
        <v>128599.63733333333</v>
      </c>
      <c r="AS27" s="45">
        <f t="shared" si="13"/>
        <v>126149.30333333333</v>
      </c>
      <c r="AT27" s="45">
        <f t="shared" si="13"/>
        <v>128599.63733333333</v>
      </c>
      <c r="AU27" s="45">
        <f t="shared" si="13"/>
        <v>123698.96933333334</v>
      </c>
      <c r="AV27" s="45">
        <f t="shared" si="13"/>
        <v>128599.63733333333</v>
      </c>
      <c r="AW27" s="45">
        <f t="shared" si="13"/>
        <v>99195.629333333345</v>
      </c>
      <c r="AX27" s="45">
        <f t="shared" si="13"/>
        <v>118798.30133333335</v>
      </c>
      <c r="AY27" s="45">
        <f t="shared" si="13"/>
        <v>128599.63733333333</v>
      </c>
      <c r="BA27" s="2">
        <f t="shared" si="7"/>
        <v>1489288.3</v>
      </c>
    </row>
    <row r="28" spans="1:53" ht="12.75" customHeight="1" x14ac:dyDescent="0.3">
      <c r="B28" s="61" t="s">
        <v>169</v>
      </c>
      <c r="C28" s="45">
        <f>'P_L Workings'!C149</f>
        <v>0</v>
      </c>
      <c r="D28" s="45">
        <f>'P_L Workings'!D149</f>
        <v>0</v>
      </c>
      <c r="E28" s="45">
        <f>'P_L Workings'!E149</f>
        <v>600000</v>
      </c>
      <c r="F28" s="45">
        <f>'P_L Workings'!F149</f>
        <v>28750</v>
      </c>
      <c r="G28" s="45">
        <f>'P_L Workings'!G149</f>
        <v>28750</v>
      </c>
      <c r="H28" s="45">
        <f>'P_L Workings'!H149</f>
        <v>28750</v>
      </c>
      <c r="I28" s="45">
        <f>'P_L Workings'!I149</f>
        <v>28750</v>
      </c>
      <c r="J28" s="45">
        <f>'P_L Workings'!J149</f>
        <v>28750</v>
      </c>
      <c r="K28" s="45">
        <f>'P_L Workings'!K149</f>
        <v>28750</v>
      </c>
      <c r="L28" s="45">
        <f>'P_L Workings'!L149</f>
        <v>28750</v>
      </c>
      <c r="M28" s="45">
        <f>'P_L Workings'!M149</f>
        <v>28750</v>
      </c>
      <c r="N28" s="45">
        <f>'P_L Workings'!N149</f>
        <v>28750</v>
      </c>
      <c r="O28" s="45">
        <f>'P_L Workings'!O149</f>
        <v>28750</v>
      </c>
      <c r="P28" s="45">
        <f>'P_L Workings'!P149</f>
        <v>28750</v>
      </c>
      <c r="Q28" s="45">
        <f>'P_L Workings'!Q149</f>
        <v>28750</v>
      </c>
      <c r="R28" s="33">
        <f>'Cashflow Workings'!R28</f>
        <v>28750</v>
      </c>
      <c r="S28" s="33">
        <f>'Cashflow Workings'!S28</f>
        <v>28750</v>
      </c>
      <c r="T28" s="33">
        <f>'Cashflow Workings'!T28</f>
        <v>28750</v>
      </c>
      <c r="U28" s="33">
        <f>'Cashflow Workings'!U28</f>
        <v>28750</v>
      </c>
      <c r="V28" s="33">
        <f>'Cashflow Workings'!V28</f>
        <v>28750</v>
      </c>
      <c r="W28" s="33">
        <f>'Cashflow Workings'!W28</f>
        <v>28750</v>
      </c>
      <c r="X28" s="33">
        <f>'Cashflow Workings'!X28</f>
        <v>28750</v>
      </c>
      <c r="Y28" s="33">
        <f>'Cashflow Workings'!Y28</f>
        <v>28750</v>
      </c>
      <c r="Z28" s="33">
        <f>'Cashflow Workings'!Z28</f>
        <v>28750</v>
      </c>
      <c r="AA28" s="33">
        <f>'Cashflow Workings'!AA28</f>
        <v>28750</v>
      </c>
      <c r="AB28" s="33">
        <f>'Cashflow Workings'!AB28</f>
        <v>28750</v>
      </c>
      <c r="AC28" s="33">
        <f>'Cashflow Workings'!AC28</f>
        <v>28750</v>
      </c>
      <c r="AD28" s="45">
        <f>'P_L Workings'!AF149</f>
        <v>28750</v>
      </c>
      <c r="AE28" s="45">
        <f>'P_L Workings'!AG149</f>
        <v>28750</v>
      </c>
      <c r="AF28" s="45">
        <f>'P_L Workings'!AH149</f>
        <v>28750</v>
      </c>
      <c r="AG28" s="45">
        <f>'P_L Workings'!AI149</f>
        <v>28750</v>
      </c>
      <c r="AH28" s="45">
        <f>'P_L Workings'!AJ149</f>
        <v>28750</v>
      </c>
      <c r="AI28" s="45">
        <f>'P_L Workings'!AK149</f>
        <v>28750</v>
      </c>
      <c r="AJ28" s="45">
        <f>'P_L Workings'!AL149</f>
        <v>28750</v>
      </c>
      <c r="AK28" s="45">
        <f>'P_L Workings'!AM149</f>
        <v>28750</v>
      </c>
      <c r="AL28" s="45">
        <f>'P_L Workings'!AN149</f>
        <v>28750</v>
      </c>
      <c r="AM28" s="45">
        <f>'P_L Workings'!AO149</f>
        <v>28750</v>
      </c>
      <c r="AN28" s="45">
        <f>'P_L Workings'!AP149</f>
        <v>28750</v>
      </c>
      <c r="AO28" s="45">
        <f>'P_L Workings'!AQ149</f>
        <v>28750</v>
      </c>
      <c r="AP28" s="45">
        <f>'P_L Workings'!AR149</f>
        <v>28750</v>
      </c>
      <c r="AQ28" s="45">
        <f>'P_L Workings'!AS149</f>
        <v>28750</v>
      </c>
      <c r="AR28" s="45">
        <f>'P_L Workings'!AT149</f>
        <v>28750</v>
      </c>
      <c r="AS28" s="45">
        <f>'P_L Workings'!AU149</f>
        <v>28750</v>
      </c>
      <c r="AT28" s="45">
        <f>'P_L Workings'!AV149</f>
        <v>28750</v>
      </c>
      <c r="AU28" s="45">
        <f>'P_L Workings'!AW149</f>
        <v>28750</v>
      </c>
      <c r="AV28" s="45">
        <f>'P_L Workings'!AX149</f>
        <v>28750</v>
      </c>
      <c r="AW28" s="45">
        <f>'P_L Workings'!AY149</f>
        <v>28750</v>
      </c>
      <c r="AX28" s="45">
        <f>'P_L Workings'!AZ149</f>
        <v>28750</v>
      </c>
      <c r="AY28" s="45">
        <f>'P_L Workings'!BA149</f>
        <v>28750</v>
      </c>
      <c r="BA28" s="2">
        <f t="shared" si="7"/>
        <v>345000</v>
      </c>
    </row>
    <row r="29" spans="1:53" ht="12.75" customHeight="1" x14ac:dyDescent="0.3">
      <c r="B29" s="61" t="s">
        <v>170</v>
      </c>
      <c r="C29" s="45">
        <f t="shared" ref="C29:Q29" si="14">C28*0.175</f>
        <v>0</v>
      </c>
      <c r="D29" s="45">
        <f t="shared" si="14"/>
        <v>0</v>
      </c>
      <c r="E29" s="45">
        <f t="shared" si="14"/>
        <v>105000</v>
      </c>
      <c r="F29" s="45">
        <f t="shared" si="14"/>
        <v>5031.25</v>
      </c>
      <c r="G29" s="45">
        <f t="shared" si="14"/>
        <v>5031.25</v>
      </c>
      <c r="H29" s="45">
        <f t="shared" si="14"/>
        <v>5031.25</v>
      </c>
      <c r="I29" s="45">
        <f t="shared" si="14"/>
        <v>5031.25</v>
      </c>
      <c r="J29" s="45">
        <f t="shared" si="14"/>
        <v>5031.25</v>
      </c>
      <c r="K29" s="45">
        <f t="shared" si="14"/>
        <v>5031.25</v>
      </c>
      <c r="L29" s="45">
        <f t="shared" si="14"/>
        <v>5031.25</v>
      </c>
      <c r="M29" s="45">
        <f t="shared" si="14"/>
        <v>5031.25</v>
      </c>
      <c r="N29" s="45">
        <f t="shared" si="14"/>
        <v>5031.25</v>
      </c>
      <c r="O29" s="45">
        <f t="shared" si="14"/>
        <v>5031.25</v>
      </c>
      <c r="P29" s="45">
        <f t="shared" si="14"/>
        <v>5031.25</v>
      </c>
      <c r="Q29" s="45">
        <f t="shared" si="14"/>
        <v>5031.25</v>
      </c>
      <c r="R29" s="33">
        <f>'Cashflow Workings'!R29</f>
        <v>5031.25</v>
      </c>
      <c r="S29" s="33">
        <f>'Cashflow Workings'!S29</f>
        <v>5031.25</v>
      </c>
      <c r="T29" s="33">
        <f>'Cashflow Workings'!T29</f>
        <v>5031.25</v>
      </c>
      <c r="U29" s="33">
        <f>'Cashflow Workings'!U29</f>
        <v>5031.25</v>
      </c>
      <c r="V29" s="33">
        <f>'Cashflow Workings'!V29</f>
        <v>5031.25</v>
      </c>
      <c r="W29" s="33">
        <f>'Cashflow Workings'!W29</f>
        <v>5031.25</v>
      </c>
      <c r="X29" s="33">
        <f>'Cashflow Workings'!X29</f>
        <v>5031.25</v>
      </c>
      <c r="Y29" s="33">
        <f>'Cashflow Workings'!Y29</f>
        <v>5031.25</v>
      </c>
      <c r="Z29" s="33">
        <f>'Cashflow Workings'!Z29</f>
        <v>5031.25</v>
      </c>
      <c r="AA29" s="33">
        <f>'Cashflow Workings'!AA29</f>
        <v>5031.25</v>
      </c>
      <c r="AB29" s="33">
        <f>'Cashflow Workings'!AB29</f>
        <v>5031.25</v>
      </c>
      <c r="AC29" s="33">
        <f>'Cashflow Workings'!AC29</f>
        <v>5031.25</v>
      </c>
      <c r="AD29" s="45">
        <f t="shared" ref="AD29:AY29" si="15">AD28*0.175</f>
        <v>5031.25</v>
      </c>
      <c r="AE29" s="45">
        <f t="shared" si="15"/>
        <v>5031.25</v>
      </c>
      <c r="AF29" s="45">
        <f t="shared" si="15"/>
        <v>5031.25</v>
      </c>
      <c r="AG29" s="45">
        <f t="shared" si="15"/>
        <v>5031.25</v>
      </c>
      <c r="AH29" s="45">
        <f t="shared" si="15"/>
        <v>5031.25</v>
      </c>
      <c r="AI29" s="45">
        <f t="shared" si="15"/>
        <v>5031.25</v>
      </c>
      <c r="AJ29" s="45">
        <f t="shared" si="15"/>
        <v>5031.25</v>
      </c>
      <c r="AK29" s="45">
        <f t="shared" si="15"/>
        <v>5031.25</v>
      </c>
      <c r="AL29" s="45">
        <f t="shared" si="15"/>
        <v>5031.25</v>
      </c>
      <c r="AM29" s="45">
        <f t="shared" si="15"/>
        <v>5031.25</v>
      </c>
      <c r="AN29" s="45">
        <f t="shared" si="15"/>
        <v>5031.25</v>
      </c>
      <c r="AO29" s="45">
        <f t="shared" si="15"/>
        <v>5031.25</v>
      </c>
      <c r="AP29" s="45">
        <f t="shared" si="15"/>
        <v>5031.25</v>
      </c>
      <c r="AQ29" s="45">
        <f t="shared" si="15"/>
        <v>5031.25</v>
      </c>
      <c r="AR29" s="45">
        <f t="shared" si="15"/>
        <v>5031.25</v>
      </c>
      <c r="AS29" s="45">
        <f t="shared" si="15"/>
        <v>5031.25</v>
      </c>
      <c r="AT29" s="45">
        <f t="shared" si="15"/>
        <v>5031.25</v>
      </c>
      <c r="AU29" s="45">
        <f t="shared" si="15"/>
        <v>5031.25</v>
      </c>
      <c r="AV29" s="45">
        <f t="shared" si="15"/>
        <v>5031.25</v>
      </c>
      <c r="AW29" s="45">
        <f t="shared" si="15"/>
        <v>5031.25</v>
      </c>
      <c r="AX29" s="45">
        <f t="shared" si="15"/>
        <v>5031.25</v>
      </c>
      <c r="AY29" s="45">
        <f t="shared" si="15"/>
        <v>5031.25</v>
      </c>
      <c r="BA29" s="2">
        <f t="shared" si="7"/>
        <v>60375</v>
      </c>
    </row>
    <row r="30" spans="1:53" ht="12.75" customHeight="1" x14ac:dyDescent="0.3">
      <c r="B30" s="61" t="s">
        <v>171</v>
      </c>
      <c r="C30" s="45">
        <f>'P_L Workings'!C157</f>
        <v>0</v>
      </c>
      <c r="D30" s="45">
        <f>'P_L Workings'!D157</f>
        <v>0</v>
      </c>
      <c r="E30" s="45">
        <f>'P_L Workings'!E157</f>
        <v>27250</v>
      </c>
      <c r="F30" s="45">
        <f>'P_L Workings'!F157</f>
        <v>54145.833333333328</v>
      </c>
      <c r="G30" s="45">
        <f>'P_L Workings'!G157</f>
        <v>54145.833333333328</v>
      </c>
      <c r="H30" s="45">
        <f>'P_L Workings'!H157</f>
        <v>54145.833333333328</v>
      </c>
      <c r="I30" s="45">
        <f>'P_L Workings'!I157</f>
        <v>54145.833333333328</v>
      </c>
      <c r="J30" s="45">
        <f>'P_L Workings'!J157</f>
        <v>54145.833333333328</v>
      </c>
      <c r="K30" s="45">
        <f>'P_L Workings'!K157</f>
        <v>54145.833333333328</v>
      </c>
      <c r="L30" s="45">
        <f>'P_L Workings'!L157</f>
        <v>54145.833333333328</v>
      </c>
      <c r="M30" s="45">
        <f>'P_L Workings'!M157</f>
        <v>54145.833333333328</v>
      </c>
      <c r="N30" s="45">
        <f>'P_L Workings'!N157</f>
        <v>54145.833333333328</v>
      </c>
      <c r="O30" s="45">
        <f>'P_L Workings'!O157</f>
        <v>54145.833333333328</v>
      </c>
      <c r="P30" s="45">
        <f>'P_L Workings'!P157</f>
        <v>54145.833333333328</v>
      </c>
      <c r="Q30" s="45">
        <f>'P_L Workings'!Q157</f>
        <v>54145.833333333328</v>
      </c>
      <c r="R30" s="33">
        <f>'Cashflow Workings'!R30</f>
        <v>54145.833333333328</v>
      </c>
      <c r="S30" s="33">
        <f>'Cashflow Workings'!S30</f>
        <v>54145.833333333328</v>
      </c>
      <c r="T30" s="33">
        <f>'Cashflow Workings'!T30</f>
        <v>54145.833333333328</v>
      </c>
      <c r="U30" s="33">
        <f>'Cashflow Workings'!U30</f>
        <v>54145.833333333328</v>
      </c>
      <c r="V30" s="33">
        <f>'Cashflow Workings'!V30</f>
        <v>54145.833333333328</v>
      </c>
      <c r="W30" s="33">
        <f>'Cashflow Workings'!W30</f>
        <v>54145.833333333328</v>
      </c>
      <c r="X30" s="33">
        <f>'Cashflow Workings'!X30</f>
        <v>54145.833333333328</v>
      </c>
      <c r="Y30" s="33">
        <f>'Cashflow Workings'!Y30</f>
        <v>54145.833333333328</v>
      </c>
      <c r="Z30" s="33">
        <f>'Cashflow Workings'!Z30</f>
        <v>54145.833333333328</v>
      </c>
      <c r="AA30" s="33">
        <f>'Cashflow Workings'!AA30</f>
        <v>54145.833333333328</v>
      </c>
      <c r="AB30" s="33">
        <f>'Cashflow Workings'!AB30</f>
        <v>54145.833333333328</v>
      </c>
      <c r="AC30" s="33">
        <f>'Cashflow Workings'!AC30</f>
        <v>54145.833333333328</v>
      </c>
      <c r="AD30" s="45">
        <f>'P_L Workings'!AF157</f>
        <v>54145.833333333328</v>
      </c>
      <c r="AE30" s="45">
        <f>'P_L Workings'!AG157</f>
        <v>54145.833333333328</v>
      </c>
      <c r="AF30" s="45">
        <f>'P_L Workings'!AH157</f>
        <v>54145.833333333328</v>
      </c>
      <c r="AG30" s="45">
        <f>'P_L Workings'!AI157</f>
        <v>54145.833333333328</v>
      </c>
      <c r="AH30" s="45">
        <f>'P_L Workings'!AJ157</f>
        <v>54145.833333333328</v>
      </c>
      <c r="AI30" s="45">
        <f>'P_L Workings'!AK157</f>
        <v>54145.833333333328</v>
      </c>
      <c r="AJ30" s="45">
        <f>'P_L Workings'!AL157</f>
        <v>54145.833333333328</v>
      </c>
      <c r="AK30" s="45">
        <f>'P_L Workings'!AM157</f>
        <v>54145.833333333328</v>
      </c>
      <c r="AL30" s="45">
        <f>'P_L Workings'!AN157</f>
        <v>54145.833333333328</v>
      </c>
      <c r="AM30" s="45">
        <f>'P_L Workings'!AO157</f>
        <v>54145.833333333328</v>
      </c>
      <c r="AN30" s="45">
        <f>'P_L Workings'!AP157</f>
        <v>54145.833333333328</v>
      </c>
      <c r="AO30" s="45">
        <f>'P_L Workings'!AQ157</f>
        <v>54145.833333333328</v>
      </c>
      <c r="AP30" s="45">
        <f>'P_L Workings'!AR157</f>
        <v>54145.833333333328</v>
      </c>
      <c r="AQ30" s="45">
        <f>'P_L Workings'!AS157</f>
        <v>54145.833333333328</v>
      </c>
      <c r="AR30" s="45">
        <f>'P_L Workings'!AT157</f>
        <v>54145.833333333328</v>
      </c>
      <c r="AS30" s="45">
        <f>'P_L Workings'!AU157</f>
        <v>54145.833333333328</v>
      </c>
      <c r="AT30" s="45">
        <f>'P_L Workings'!AV157</f>
        <v>54145.833333333328</v>
      </c>
      <c r="AU30" s="45">
        <f>'P_L Workings'!AW157</f>
        <v>54145.833333333328</v>
      </c>
      <c r="AV30" s="45">
        <f>'P_L Workings'!AX157</f>
        <v>54145.833333333328</v>
      </c>
      <c r="AW30" s="45">
        <f>'P_L Workings'!AY157</f>
        <v>54145.833333333328</v>
      </c>
      <c r="AX30" s="45">
        <f>'P_L Workings'!AZ157</f>
        <v>54145.833333333328</v>
      </c>
      <c r="AY30" s="45">
        <f>'P_L Workings'!BA157</f>
        <v>54145.833333333328</v>
      </c>
      <c r="BA30" s="2">
        <f t="shared" si="7"/>
        <v>649750</v>
      </c>
    </row>
    <row r="31" spans="1:53" ht="12.75" customHeight="1" x14ac:dyDescent="0.3">
      <c r="B31" s="61" t="s">
        <v>172</v>
      </c>
      <c r="C31" s="45">
        <f t="shared" ref="C31:Q31" si="16">C30*0.175</f>
        <v>0</v>
      </c>
      <c r="D31" s="45">
        <f t="shared" si="16"/>
        <v>0</v>
      </c>
      <c r="E31" s="45">
        <f t="shared" si="16"/>
        <v>4768.75</v>
      </c>
      <c r="F31" s="45">
        <f t="shared" si="16"/>
        <v>9475.5208333333321</v>
      </c>
      <c r="G31" s="45">
        <f t="shared" si="16"/>
        <v>9475.5208333333321</v>
      </c>
      <c r="H31" s="45">
        <f t="shared" si="16"/>
        <v>9475.5208333333321</v>
      </c>
      <c r="I31" s="45">
        <f t="shared" si="16"/>
        <v>9475.5208333333321</v>
      </c>
      <c r="J31" s="45">
        <f t="shared" si="16"/>
        <v>9475.5208333333321</v>
      </c>
      <c r="K31" s="45">
        <f t="shared" si="16"/>
        <v>9475.5208333333321</v>
      </c>
      <c r="L31" s="45">
        <f t="shared" si="16"/>
        <v>9475.5208333333321</v>
      </c>
      <c r="M31" s="45">
        <f t="shared" si="16"/>
        <v>9475.5208333333321</v>
      </c>
      <c r="N31" s="45">
        <f t="shared" si="16"/>
        <v>9475.5208333333321</v>
      </c>
      <c r="O31" s="45">
        <f t="shared" si="16"/>
        <v>9475.5208333333321</v>
      </c>
      <c r="P31" s="45">
        <f t="shared" si="16"/>
        <v>9475.5208333333321</v>
      </c>
      <c r="Q31" s="45">
        <f t="shared" si="16"/>
        <v>9475.5208333333321</v>
      </c>
      <c r="R31" s="33">
        <f>'Cashflow Workings'!R31</f>
        <v>9475.5208333333321</v>
      </c>
      <c r="S31" s="33">
        <f>'Cashflow Workings'!S31</f>
        <v>9475.5208333333321</v>
      </c>
      <c r="T31" s="33">
        <f>'Cashflow Workings'!T31</f>
        <v>9475.5208333333321</v>
      </c>
      <c r="U31" s="33">
        <f>'Cashflow Workings'!U31</f>
        <v>9475.5208333333321</v>
      </c>
      <c r="V31" s="33">
        <f>'Cashflow Workings'!V31</f>
        <v>9475.5208333333321</v>
      </c>
      <c r="W31" s="33">
        <f>'Cashflow Workings'!W31</f>
        <v>9475.5208333333321</v>
      </c>
      <c r="X31" s="33">
        <f>'Cashflow Workings'!X31</f>
        <v>9475.5208333333321</v>
      </c>
      <c r="Y31" s="33">
        <f>'Cashflow Workings'!Y31</f>
        <v>9475.5208333333321</v>
      </c>
      <c r="Z31" s="33">
        <f>'Cashflow Workings'!Z31</f>
        <v>9475.5208333333321</v>
      </c>
      <c r="AA31" s="33">
        <f>'Cashflow Workings'!AA31</f>
        <v>9475.5208333333321</v>
      </c>
      <c r="AB31" s="33">
        <f>'Cashflow Workings'!AB31</f>
        <v>9475.5208333333321</v>
      </c>
      <c r="AC31" s="33">
        <f>'Cashflow Workings'!AC31</f>
        <v>9475.5208333333321</v>
      </c>
      <c r="AD31" s="45">
        <f t="shared" ref="AD31:AY31" si="17">AD30*0.175</f>
        <v>9475.5208333333321</v>
      </c>
      <c r="AE31" s="45">
        <f t="shared" si="17"/>
        <v>9475.5208333333321</v>
      </c>
      <c r="AF31" s="45">
        <f t="shared" si="17"/>
        <v>9475.5208333333321</v>
      </c>
      <c r="AG31" s="45">
        <f t="shared" si="17"/>
        <v>9475.5208333333321</v>
      </c>
      <c r="AH31" s="45">
        <f t="shared" si="17"/>
        <v>9475.5208333333321</v>
      </c>
      <c r="AI31" s="45">
        <f t="shared" si="17"/>
        <v>9475.5208333333321</v>
      </c>
      <c r="AJ31" s="45">
        <f t="shared" si="17"/>
        <v>9475.5208333333321</v>
      </c>
      <c r="AK31" s="45">
        <f t="shared" si="17"/>
        <v>9475.5208333333321</v>
      </c>
      <c r="AL31" s="45">
        <f t="shared" si="17"/>
        <v>9475.5208333333321</v>
      </c>
      <c r="AM31" s="45">
        <f t="shared" si="17"/>
        <v>9475.5208333333321</v>
      </c>
      <c r="AN31" s="45">
        <f t="shared" si="17"/>
        <v>9475.5208333333321</v>
      </c>
      <c r="AO31" s="45">
        <f t="shared" si="17"/>
        <v>9475.5208333333321</v>
      </c>
      <c r="AP31" s="45">
        <f t="shared" si="17"/>
        <v>9475.5208333333321</v>
      </c>
      <c r="AQ31" s="45">
        <f t="shared" si="17"/>
        <v>9475.5208333333321</v>
      </c>
      <c r="AR31" s="45">
        <f t="shared" si="17"/>
        <v>9475.5208333333321</v>
      </c>
      <c r="AS31" s="45">
        <f t="shared" si="17"/>
        <v>9475.5208333333321</v>
      </c>
      <c r="AT31" s="45">
        <f t="shared" si="17"/>
        <v>9475.5208333333321</v>
      </c>
      <c r="AU31" s="45">
        <f t="shared" si="17"/>
        <v>9475.5208333333321</v>
      </c>
      <c r="AV31" s="45">
        <f t="shared" si="17"/>
        <v>9475.5208333333321</v>
      </c>
      <c r="AW31" s="45">
        <f t="shared" si="17"/>
        <v>9475.5208333333321</v>
      </c>
      <c r="AX31" s="45">
        <f t="shared" si="17"/>
        <v>9475.5208333333321</v>
      </c>
      <c r="AY31" s="45">
        <f t="shared" si="17"/>
        <v>9475.5208333333321</v>
      </c>
      <c r="BA31" s="2">
        <f t="shared" si="7"/>
        <v>113706.24999999996</v>
      </c>
    </row>
    <row r="32" spans="1:53" ht="12.75" customHeight="1" x14ac:dyDescent="0.3">
      <c r="B32" s="61" t="s">
        <v>49</v>
      </c>
      <c r="C32" s="45">
        <f>'P_L Workings'!C163</f>
        <v>0</v>
      </c>
      <c r="D32" s="45">
        <f>'P_L Workings'!D163</f>
        <v>0</v>
      </c>
      <c r="E32" s="45">
        <f>'P_L Workings'!E163</f>
        <v>16000</v>
      </c>
      <c r="F32" s="45">
        <f>'P_L Workings'!F163</f>
        <v>66285.71428571429</v>
      </c>
      <c r="G32" s="45">
        <f>'P_L Workings'!G163</f>
        <v>70857.142857142855</v>
      </c>
      <c r="H32" s="45">
        <f>'P_L Workings'!H163</f>
        <v>68571.42857142858</v>
      </c>
      <c r="I32" s="45">
        <f>'P_L Workings'!I163</f>
        <v>70857.142857142855</v>
      </c>
      <c r="J32" s="45">
        <f>'P_L Workings'!J163</f>
        <v>70857.142857142855</v>
      </c>
      <c r="K32" s="45">
        <f>'P_L Workings'!K163</f>
        <v>68571.42857142858</v>
      </c>
      <c r="L32" s="45">
        <f>'P_L Workings'!L163</f>
        <v>70857.142857142855</v>
      </c>
      <c r="M32" s="45">
        <f>'P_L Workings'!M163</f>
        <v>66285.71428571429</v>
      </c>
      <c r="N32" s="45">
        <f>'P_L Workings'!N163</f>
        <v>70857.142857142855</v>
      </c>
      <c r="O32" s="45">
        <f>'P_L Workings'!O163</f>
        <v>43428.571428571428</v>
      </c>
      <c r="P32" s="45">
        <f>'P_L Workings'!P163</f>
        <v>61714.285714285717</v>
      </c>
      <c r="Q32" s="45">
        <f>'P_L Workings'!Q163</f>
        <v>70857.142857142855</v>
      </c>
      <c r="R32" s="33">
        <f>'Cashflow Workings'!R32</f>
        <v>66285.71428571429</v>
      </c>
      <c r="S32" s="33">
        <f>'Cashflow Workings'!S32</f>
        <v>70857.142857142855</v>
      </c>
      <c r="T32" s="33">
        <f>'Cashflow Workings'!T32</f>
        <v>68571.42857142858</v>
      </c>
      <c r="U32" s="33">
        <f>'Cashflow Workings'!U32</f>
        <v>70857.142857142855</v>
      </c>
      <c r="V32" s="33">
        <f>'Cashflow Workings'!V32</f>
        <v>70857.142857142855</v>
      </c>
      <c r="W32" s="33">
        <f>'Cashflow Workings'!W32</f>
        <v>68571.42857142858</v>
      </c>
      <c r="X32" s="33">
        <f>'Cashflow Workings'!X32</f>
        <v>70857.142857142855</v>
      </c>
      <c r="Y32" s="33">
        <f>'Cashflow Workings'!Y32</f>
        <v>66285.71428571429</v>
      </c>
      <c r="Z32" s="33">
        <f>'Cashflow Workings'!Z32</f>
        <v>70857.142857142855</v>
      </c>
      <c r="AA32" s="33">
        <f>'Cashflow Workings'!AA32</f>
        <v>41142.857142857145</v>
      </c>
      <c r="AB32" s="33">
        <f>'Cashflow Workings'!AB32</f>
        <v>64000</v>
      </c>
      <c r="AC32" s="33">
        <f>'Cashflow Workings'!AC32</f>
        <v>70857.142857142855</v>
      </c>
      <c r="AD32" s="45">
        <f>'P_L Workings'!AF163</f>
        <v>68571.42857142858</v>
      </c>
      <c r="AE32" s="45">
        <f>'P_L Workings'!AG163</f>
        <v>70857.142857142855</v>
      </c>
      <c r="AF32" s="45">
        <f>'P_L Workings'!AH163</f>
        <v>70857.142857142855</v>
      </c>
      <c r="AG32" s="45">
        <f>'P_L Workings'!AI163</f>
        <v>68571.42857142858</v>
      </c>
      <c r="AH32" s="45">
        <f>'P_L Workings'!AJ163</f>
        <v>70857.142857142855</v>
      </c>
      <c r="AI32" s="45">
        <f>'P_L Workings'!AK163</f>
        <v>66285.71428571429</v>
      </c>
      <c r="AJ32" s="45">
        <f>'P_L Workings'!AL163</f>
        <v>70857.142857142855</v>
      </c>
      <c r="AK32" s="45">
        <f>'P_L Workings'!AM163</f>
        <v>43428.571428571428</v>
      </c>
      <c r="AL32" s="45">
        <f>'P_L Workings'!AN163</f>
        <v>61714.285714285717</v>
      </c>
      <c r="AM32" s="45">
        <f>'P_L Workings'!AO163</f>
        <v>70857.142857142855</v>
      </c>
      <c r="AN32" s="45">
        <f>'P_L Workings'!AP163</f>
        <v>66285.71428571429</v>
      </c>
      <c r="AO32" s="45">
        <f>'P_L Workings'!AQ163</f>
        <v>70857.142857142855</v>
      </c>
      <c r="AP32" s="45">
        <f>'P_L Workings'!AR163</f>
        <v>68571.42857142858</v>
      </c>
      <c r="AQ32" s="45">
        <f>'P_L Workings'!AS163</f>
        <v>70857.142857142855</v>
      </c>
      <c r="AR32" s="45">
        <f>'P_L Workings'!AT163</f>
        <v>70857.142857142855</v>
      </c>
      <c r="AS32" s="45">
        <f>'P_L Workings'!AU163</f>
        <v>68571.42857142858</v>
      </c>
      <c r="AT32" s="45">
        <f>'P_L Workings'!AV163</f>
        <v>70857.142857142855</v>
      </c>
      <c r="AU32" s="45">
        <f>'P_L Workings'!AW163</f>
        <v>66285.71428571429</v>
      </c>
      <c r="AV32" s="45">
        <f>'P_L Workings'!AX163</f>
        <v>70857.142857142855</v>
      </c>
      <c r="AW32" s="45">
        <f>'P_L Workings'!AY163</f>
        <v>43428.571428571428</v>
      </c>
      <c r="AX32" s="45">
        <f>'P_L Workings'!AZ163</f>
        <v>61714.285714285717</v>
      </c>
      <c r="AY32" s="45">
        <f>'P_L Workings'!BA163</f>
        <v>70857.142857142855</v>
      </c>
      <c r="BA32" s="2">
        <f t="shared" si="7"/>
        <v>800000</v>
      </c>
    </row>
    <row r="33" spans="1:53" ht="12.75" customHeight="1" x14ac:dyDescent="0.3">
      <c r="B33" s="61" t="s">
        <v>173</v>
      </c>
      <c r="C33" s="45">
        <f>'P_L Workings'!C170</f>
        <v>0</v>
      </c>
      <c r="D33" s="45">
        <f>'P_L Workings'!D170</f>
        <v>0</v>
      </c>
      <c r="E33" s="45">
        <f>'P_L Workings'!E170</f>
        <v>0</v>
      </c>
      <c r="F33" s="45">
        <f>'P_L Workings'!F170</f>
        <v>29708.333333335431</v>
      </c>
      <c r="G33" s="45">
        <f>'P_L Workings'!G170</f>
        <v>21597.315392591918</v>
      </c>
      <c r="H33" s="45">
        <f>'P_L Workings'!H170</f>
        <v>20982.605904540091</v>
      </c>
      <c r="I33" s="45">
        <f>'P_L Workings'!I170</f>
        <v>20364.179675089181</v>
      </c>
      <c r="J33" s="45">
        <f>'P_L Workings'!J170</f>
        <v>19742.011388057086</v>
      </c>
      <c r="K33" s="45">
        <f>'P_L Workings'!K170</f>
        <v>19116.075603811372</v>
      </c>
      <c r="L33" s="45">
        <f>'P_L Workings'!L170</f>
        <v>18486.34675791812</v>
      </c>
      <c r="M33" s="45">
        <f>'P_L Workings'!M170</f>
        <v>17852.799159791961</v>
      </c>
      <c r="N33" s="45">
        <f>'P_L Workings'!N170</f>
        <v>17215.406991347209</v>
      </c>
      <c r="O33" s="45">
        <f>'P_L Workings'!O170</f>
        <v>16574.144305649879</v>
      </c>
      <c r="P33" s="45">
        <f>'P_L Workings'!P170</f>
        <v>15928.985025570473</v>
      </c>
      <c r="Q33" s="45">
        <f>'P_L Workings'!Q170</f>
        <v>15279.902942437375</v>
      </c>
      <c r="R33" s="33">
        <f>'Cashflow Workings'!R33</f>
        <v>6522.4506700884231</v>
      </c>
      <c r="S33" s="33">
        <f>'Cashflow Workings'!S33</f>
        <v>6517.9098255869503</v>
      </c>
      <c r="T33" s="33">
        <f>'Cashflow Workings'!T33</f>
        <v>6513.4446618271677</v>
      </c>
      <c r="U33" s="33">
        <f>'Cashflow Workings'!U33</f>
        <v>6509.0539174633823</v>
      </c>
      <c r="V33" s="33">
        <f>'Cashflow Workings'!V33</f>
        <v>6504.7363521723255</v>
      </c>
      <c r="W33" s="33">
        <f>'Cashflow Workings'!W33</f>
        <v>6500.4907463027857</v>
      </c>
      <c r="X33" s="33">
        <f>'Cashflow Workings'!X33</f>
        <v>6496.3159005310736</v>
      </c>
      <c r="Y33" s="33">
        <f>'Cashflow Workings'!Y33</f>
        <v>6492.2106355222222</v>
      </c>
      <c r="Z33" s="33">
        <f>'Cashflow Workings'!Z33</f>
        <v>6488.1737915968524</v>
      </c>
      <c r="AA33" s="33">
        <f>'Cashflow Workings'!AA33</f>
        <v>6484.2042284035706</v>
      </c>
      <c r="AB33" s="33">
        <f>'Cashflow Workings'!AB33</f>
        <v>6480.3008245968449</v>
      </c>
      <c r="AC33" s="33">
        <f>'Cashflow Workings'!AC33</f>
        <v>6476.462477520231</v>
      </c>
      <c r="AD33" s="45">
        <f>'P_L Workings'!AF170</f>
        <v>6465.32702393809</v>
      </c>
      <c r="AE33" s="45">
        <f>'P_L Workings'!AG170</f>
        <v>6461.7382402057883</v>
      </c>
      <c r="AF33" s="45">
        <f>'P_L Workings'!AH170</f>
        <v>6458.2092695356923</v>
      </c>
      <c r="AG33" s="45">
        <f>'P_L Workings'!AI170</f>
        <v>6454.7391150434305</v>
      </c>
      <c r="AH33" s="45">
        <f>'P_L Workings'!AJ170</f>
        <v>6451.3267964593733</v>
      </c>
      <c r="AI33" s="45">
        <f>'P_L Workings'!AK170</f>
        <v>6447.9713498517167</v>
      </c>
      <c r="AJ33" s="45">
        <f>'P_L Workings'!AL170</f>
        <v>6444.6718273541883</v>
      </c>
      <c r="AK33" s="45">
        <f>'P_L Workings'!AM170</f>
        <v>6441.427296898285</v>
      </c>
      <c r="AL33" s="45">
        <f>'P_L Workings'!AN170</f>
        <v>6438.2368419499808</v>
      </c>
      <c r="AM33" s="45">
        <f>'P_L Workings'!AO170</f>
        <v>6435.0995612508141</v>
      </c>
      <c r="AN33" s="45">
        <f>'P_L Workings'!AP170</f>
        <v>6432.0145685633006</v>
      </c>
      <c r="AO33" s="45">
        <f>'P_L Workings'!AQ170</f>
        <v>6428.9809924205792</v>
      </c>
      <c r="AP33" s="45">
        <f>'P_L Workings'!AR170</f>
        <v>6425.9979758802356</v>
      </c>
      <c r="AQ33" s="45">
        <f>'P_L Workings'!AS170</f>
        <v>6423.0646762822316</v>
      </c>
      <c r="AR33" s="45">
        <f>'P_L Workings'!AT170</f>
        <v>6420.1802650108611</v>
      </c>
      <c r="AS33" s="45">
        <f>'P_L Workings'!AU170</f>
        <v>6417.3439272606802</v>
      </c>
      <c r="AT33" s="45">
        <f>'P_L Workings'!AV170</f>
        <v>6414.5548618063358</v>
      </c>
      <c r="AU33" s="45">
        <f>'P_L Workings'!AW170</f>
        <v>6411.8122807762302</v>
      </c>
      <c r="AV33" s="45">
        <f>'P_L Workings'!AX170</f>
        <v>6409.11540942996</v>
      </c>
      <c r="AW33" s="45">
        <f>'P_L Workings'!AY170</f>
        <v>6406.46348593946</v>
      </c>
      <c r="AX33" s="45">
        <f>'P_L Workings'!AZ170</f>
        <v>6403.8557611738024</v>
      </c>
      <c r="AY33" s="45">
        <f>'P_L Workings'!BA170</f>
        <v>6401.2914984875724</v>
      </c>
      <c r="BA33" s="2">
        <f t="shared" si="7"/>
        <v>77985.754031611825</v>
      </c>
    </row>
    <row r="34" spans="1:53" ht="12.75" customHeight="1" x14ac:dyDescent="0.3">
      <c r="B34" s="61" t="s">
        <v>174</v>
      </c>
      <c r="C34" s="25">
        <f>'Bal Sheet Workings'!C10</f>
        <v>0</v>
      </c>
      <c r="D34" s="25">
        <f>'Bal Sheet Workings'!D10</f>
        <v>0</v>
      </c>
      <c r="E34" s="25">
        <f>'Bal Sheet Workings'!E10</f>
        <v>0</v>
      </c>
      <c r="F34" s="25">
        <f>'Bal Sheet Workings'!F10</f>
        <v>-333.33333333333331</v>
      </c>
      <c r="G34" s="25">
        <f>'Bal Sheet Workings'!G10</f>
        <v>-327.77777777777783</v>
      </c>
      <c r="H34" s="25">
        <f>'Bal Sheet Workings'!H10</f>
        <v>-322.31481481481484</v>
      </c>
      <c r="I34" s="25">
        <f>'Bal Sheet Workings'!I10</f>
        <v>-316.94290123456796</v>
      </c>
      <c r="J34" s="25">
        <f>'Bal Sheet Workings'!J10</f>
        <v>-311.66051954732512</v>
      </c>
      <c r="K34" s="25">
        <f>'Bal Sheet Workings'!K10</f>
        <v>-306.46617755486977</v>
      </c>
      <c r="L34" s="25">
        <f>'Bal Sheet Workings'!L10</f>
        <v>-301.35840792895527</v>
      </c>
      <c r="M34" s="25">
        <f>'Bal Sheet Workings'!M10</f>
        <v>-296.33576779680601</v>
      </c>
      <c r="N34" s="25">
        <f>'Bal Sheet Workings'!N10</f>
        <v>-291.39683833352592</v>
      </c>
      <c r="O34" s="25">
        <f>'Bal Sheet Workings'!O10</f>
        <v>-286.54022436130049</v>
      </c>
      <c r="P34" s="25">
        <f>'Bal Sheet Workings'!P10</f>
        <v>-281.76455395527881</v>
      </c>
      <c r="Q34" s="25">
        <f>'Bal Sheet Workings'!Q10</f>
        <v>-277.06847805602416</v>
      </c>
      <c r="R34" s="33">
        <f>'Cashflow Workings'!R34</f>
        <v>-272.45067008842381</v>
      </c>
      <c r="S34" s="33">
        <f>'Cashflow Workings'!S34</f>
        <v>-267.90982558695003</v>
      </c>
      <c r="T34" s="33">
        <f>'Cashflow Workings'!T34</f>
        <v>-263.44466182716752</v>
      </c>
      <c r="U34" s="33">
        <f>'Cashflow Workings'!U34</f>
        <v>-259.05391746338142</v>
      </c>
      <c r="V34" s="33">
        <f>'Cashflow Workings'!V34</f>
        <v>-254.73635217232507</v>
      </c>
      <c r="W34" s="33">
        <f>'Cashflow Workings'!W34</f>
        <v>-250.49074630278633</v>
      </c>
      <c r="X34" s="33">
        <f>'Cashflow Workings'!X34</f>
        <v>-246.31590053107323</v>
      </c>
      <c r="Y34" s="33">
        <f>'Cashflow Workings'!Y34</f>
        <v>-242.21063552222199</v>
      </c>
      <c r="Z34" s="33">
        <f>'Cashflow Workings'!Z34</f>
        <v>-238.17379159685163</v>
      </c>
      <c r="AA34" s="33">
        <f>'Cashflow Workings'!AA34</f>
        <v>-234.20422840357074</v>
      </c>
      <c r="AB34" s="33">
        <f>'Cashflow Workings'!AB34</f>
        <v>-230.30082459684459</v>
      </c>
      <c r="AC34" s="33">
        <f>'Cashflow Workings'!AC34</f>
        <v>-226.46247752023052</v>
      </c>
      <c r="AD34" s="25">
        <f>'Bal Sheet Workings'!AF10</f>
        <v>-215.32702393808992</v>
      </c>
      <c r="AE34" s="25">
        <f>'Bal Sheet Workings'!AG10</f>
        <v>-211.73824020578843</v>
      </c>
      <c r="AF34" s="25">
        <f>'Bal Sheet Workings'!AH10</f>
        <v>-208.20926953569196</v>
      </c>
      <c r="AG34" s="25">
        <f>'Bal Sheet Workings'!AI10</f>
        <v>-204.73911504343042</v>
      </c>
      <c r="AH34" s="25">
        <f>'Bal Sheet Workings'!AJ10</f>
        <v>-201.32679645937324</v>
      </c>
      <c r="AI34" s="25">
        <f>'Bal Sheet Workings'!AK10</f>
        <v>-197.97134985171704</v>
      </c>
      <c r="AJ34" s="25">
        <f>'Bal Sheet Workings'!AL10</f>
        <v>-194.67182735418839</v>
      </c>
      <c r="AK34" s="25">
        <f>'Bal Sheet Workings'!AM10</f>
        <v>-191.42729689828528</v>
      </c>
      <c r="AL34" s="25">
        <f>'Bal Sheet Workings'!AN10</f>
        <v>-188.23684194998052</v>
      </c>
      <c r="AM34" s="25">
        <f>'Bal Sheet Workings'!AO10</f>
        <v>-185.09956125081419</v>
      </c>
      <c r="AN34" s="25">
        <f>'Bal Sheet Workings'!AP10</f>
        <v>-182.0145685633006</v>
      </c>
      <c r="AO34" s="25">
        <f>'Bal Sheet Workings'!AQ10</f>
        <v>-178.98099242057893</v>
      </c>
      <c r="AP34" s="25">
        <f>'Bal Sheet Workings'!AR10</f>
        <v>-175.997975880236</v>
      </c>
      <c r="AQ34" s="25">
        <f>'Bal Sheet Workings'!AS10</f>
        <v>-173.06467628223206</v>
      </c>
      <c r="AR34" s="25">
        <f>'Bal Sheet Workings'!AT10</f>
        <v>-170.18026501086149</v>
      </c>
      <c r="AS34" s="25">
        <f>'Bal Sheet Workings'!AU10</f>
        <v>-167.34392726068046</v>
      </c>
      <c r="AT34" s="25">
        <f>'Bal Sheet Workings'!AV10</f>
        <v>-164.55486180633577</v>
      </c>
      <c r="AU34" s="25">
        <f>'Bal Sheet Workings'!AW10</f>
        <v>-161.81228077623018</v>
      </c>
      <c r="AV34" s="25">
        <f>'Bal Sheet Workings'!AX10</f>
        <v>-159.11540942995967</v>
      </c>
      <c r="AW34" s="25">
        <f>'Bal Sheet Workings'!AY10</f>
        <v>-156.46348593946036</v>
      </c>
      <c r="AX34" s="25">
        <f>'Bal Sheet Workings'!AZ10</f>
        <v>-153.85576117380268</v>
      </c>
      <c r="AY34" s="25">
        <f>'Bal Sheet Workings'!BA10</f>
        <v>-151.29149848757262</v>
      </c>
      <c r="BA34" s="2">
        <f t="shared" si="7"/>
        <v>-2985.7540316118266</v>
      </c>
    </row>
    <row r="35" spans="1:53" ht="12.75" customHeight="1" x14ac:dyDescent="0.3">
      <c r="B35" s="61" t="s">
        <v>175</v>
      </c>
      <c r="C35" s="45">
        <f>300000</f>
        <v>300000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33">
        <f>'Cashflow Workings'!R35</f>
        <v>0</v>
      </c>
      <c r="S35" s="33">
        <f>'Cashflow Workings'!S35</f>
        <v>0</v>
      </c>
      <c r="T35" s="33">
        <f>'Cashflow Workings'!T35</f>
        <v>0</v>
      </c>
      <c r="U35" s="33">
        <f>'Cashflow Workings'!U35</f>
        <v>0</v>
      </c>
      <c r="V35" s="33">
        <f>'Cashflow Workings'!V35</f>
        <v>0</v>
      </c>
      <c r="W35" s="33">
        <f>'Cashflow Workings'!W35</f>
        <v>0</v>
      </c>
      <c r="X35" s="33">
        <f>'Cashflow Workings'!X35</f>
        <v>0</v>
      </c>
      <c r="Y35" s="33">
        <f>'Cashflow Workings'!Y35</f>
        <v>0</v>
      </c>
      <c r="Z35" s="33">
        <f>'Cashflow Workings'!Z35</f>
        <v>0</v>
      </c>
      <c r="AA35" s="33">
        <f>'Cashflow Workings'!AA35</f>
        <v>0</v>
      </c>
      <c r="AB35" s="33">
        <f>'Cashflow Workings'!AB35</f>
        <v>0</v>
      </c>
      <c r="AC35" s="33">
        <f>'Cashflow Workings'!AC35</f>
        <v>0</v>
      </c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BA35" s="2">
        <f t="shared" si="7"/>
        <v>0</v>
      </c>
    </row>
    <row r="36" spans="1:53" ht="12.75" customHeight="1" x14ac:dyDescent="0.3">
      <c r="B36" s="61" t="s">
        <v>176</v>
      </c>
      <c r="C36" s="64">
        <f t="shared" ref="C36:Q36" si="18">C35*0.175</f>
        <v>52500</v>
      </c>
      <c r="D36" s="64">
        <f t="shared" si="18"/>
        <v>0</v>
      </c>
      <c r="E36" s="64">
        <f t="shared" si="18"/>
        <v>0</v>
      </c>
      <c r="F36" s="64">
        <f t="shared" si="18"/>
        <v>0</v>
      </c>
      <c r="G36" s="64">
        <f t="shared" si="18"/>
        <v>0</v>
      </c>
      <c r="H36" s="64">
        <f t="shared" si="18"/>
        <v>0</v>
      </c>
      <c r="I36" s="64">
        <f t="shared" si="18"/>
        <v>0</v>
      </c>
      <c r="J36" s="64">
        <f t="shared" si="18"/>
        <v>0</v>
      </c>
      <c r="K36" s="64">
        <f t="shared" si="18"/>
        <v>0</v>
      </c>
      <c r="L36" s="64">
        <f t="shared" si="18"/>
        <v>0</v>
      </c>
      <c r="M36" s="64">
        <f t="shared" si="18"/>
        <v>0</v>
      </c>
      <c r="N36" s="64">
        <f t="shared" si="18"/>
        <v>0</v>
      </c>
      <c r="O36" s="64">
        <f t="shared" si="18"/>
        <v>0</v>
      </c>
      <c r="P36" s="64">
        <f t="shared" si="18"/>
        <v>0</v>
      </c>
      <c r="Q36" s="64">
        <f t="shared" si="18"/>
        <v>0</v>
      </c>
      <c r="R36" s="33">
        <f>'Cashflow Workings'!R36</f>
        <v>0</v>
      </c>
      <c r="S36" s="33">
        <f>'Cashflow Workings'!S36</f>
        <v>0</v>
      </c>
      <c r="T36" s="33">
        <f>'Cashflow Workings'!T36</f>
        <v>0</v>
      </c>
      <c r="U36" s="33">
        <f>'Cashflow Workings'!U36</f>
        <v>0</v>
      </c>
      <c r="V36" s="33">
        <f>'Cashflow Workings'!V36</f>
        <v>0</v>
      </c>
      <c r="W36" s="33">
        <f>'Cashflow Workings'!W36</f>
        <v>0</v>
      </c>
      <c r="X36" s="33">
        <f>'Cashflow Workings'!X36</f>
        <v>0</v>
      </c>
      <c r="Y36" s="33">
        <f>'Cashflow Workings'!Y36</f>
        <v>0</v>
      </c>
      <c r="Z36" s="33">
        <f>'Cashflow Workings'!Z36</f>
        <v>0</v>
      </c>
      <c r="AA36" s="33">
        <f>'Cashflow Workings'!AA36</f>
        <v>0</v>
      </c>
      <c r="AB36" s="33">
        <f>'Cashflow Workings'!AB36</f>
        <v>0</v>
      </c>
      <c r="AC36" s="33">
        <f>'Cashflow Workings'!AC36</f>
        <v>0</v>
      </c>
      <c r="AD36" s="64">
        <f t="shared" ref="AD36:AY36" si="19">AD35*0.175</f>
        <v>0</v>
      </c>
      <c r="AE36" s="64">
        <f t="shared" si="19"/>
        <v>0</v>
      </c>
      <c r="AF36" s="64">
        <f t="shared" si="19"/>
        <v>0</v>
      </c>
      <c r="AG36" s="64">
        <f t="shared" si="19"/>
        <v>0</v>
      </c>
      <c r="AH36" s="64">
        <f t="shared" si="19"/>
        <v>0</v>
      </c>
      <c r="AI36" s="64">
        <f t="shared" si="19"/>
        <v>0</v>
      </c>
      <c r="AJ36" s="64">
        <f t="shared" si="19"/>
        <v>0</v>
      </c>
      <c r="AK36" s="64">
        <f t="shared" si="19"/>
        <v>0</v>
      </c>
      <c r="AL36" s="64">
        <f t="shared" si="19"/>
        <v>0</v>
      </c>
      <c r="AM36" s="64">
        <f t="shared" si="19"/>
        <v>0</v>
      </c>
      <c r="AN36" s="64">
        <f t="shared" si="19"/>
        <v>0</v>
      </c>
      <c r="AO36" s="64">
        <f t="shared" si="19"/>
        <v>0</v>
      </c>
      <c r="AP36" s="64">
        <f t="shared" si="19"/>
        <v>0</v>
      </c>
      <c r="AQ36" s="64">
        <f t="shared" si="19"/>
        <v>0</v>
      </c>
      <c r="AR36" s="64">
        <f t="shared" si="19"/>
        <v>0</v>
      </c>
      <c r="AS36" s="64">
        <f t="shared" si="19"/>
        <v>0</v>
      </c>
      <c r="AT36" s="64">
        <f t="shared" si="19"/>
        <v>0</v>
      </c>
      <c r="AU36" s="64">
        <f t="shared" si="19"/>
        <v>0</v>
      </c>
      <c r="AV36" s="64">
        <f t="shared" si="19"/>
        <v>0</v>
      </c>
      <c r="AW36" s="64">
        <f t="shared" si="19"/>
        <v>0</v>
      </c>
      <c r="AX36" s="64">
        <f t="shared" si="19"/>
        <v>0</v>
      </c>
      <c r="AY36" s="64">
        <f t="shared" si="19"/>
        <v>0</v>
      </c>
      <c r="BA36" s="18">
        <f t="shared" si="7"/>
        <v>0</v>
      </c>
    </row>
    <row r="37" spans="1:53" ht="12.75" customHeight="1" x14ac:dyDescent="0.3">
      <c r="B37" s="61"/>
      <c r="C37" s="66">
        <f t="shared" ref="C37:AH37" si="20">SUM(C21:C36)</f>
        <v>1352500</v>
      </c>
      <c r="D37" s="66">
        <f t="shared" si="20"/>
        <v>0</v>
      </c>
      <c r="E37" s="66">
        <f t="shared" si="20"/>
        <v>1090739.1506007325</v>
      </c>
      <c r="F37" s="66">
        <f t="shared" si="20"/>
        <v>1576278.7668333354</v>
      </c>
      <c r="G37" s="66">
        <f t="shared" si="20"/>
        <v>1628205.6524481473</v>
      </c>
      <c r="H37" s="66">
        <f t="shared" si="20"/>
        <v>1597580.2319230582</v>
      </c>
      <c r="I37" s="66">
        <f t="shared" si="20"/>
        <v>1626983.3516071877</v>
      </c>
      <c r="J37" s="66">
        <f t="shared" si="20"/>
        <v>1626366.4657018429</v>
      </c>
      <c r="K37" s="66">
        <f t="shared" si="20"/>
        <v>1595729.5502595895</v>
      </c>
      <c r="L37" s="66">
        <f t="shared" si="20"/>
        <v>1625121.1031833224</v>
      </c>
      <c r="M37" s="66">
        <f t="shared" si="20"/>
        <v>1564460.2302253286</v>
      </c>
      <c r="N37" s="66">
        <f t="shared" si="20"/>
        <v>1623860.1249863468</v>
      </c>
      <c r="O37" s="66">
        <f t="shared" si="20"/>
        <v>1263029.6309146218</v>
      </c>
      <c r="P37" s="66">
        <f t="shared" si="20"/>
        <v>1502518.6393049485</v>
      </c>
      <c r="Q37" s="66">
        <f t="shared" si="20"/>
        <v>1621938.9492977145</v>
      </c>
      <c r="R37" s="66">
        <f t="shared" si="20"/>
        <v>1553153.7668333333</v>
      </c>
      <c r="S37" s="66">
        <f t="shared" si="20"/>
        <v>1613186.1148333331</v>
      </c>
      <c r="T37" s="66">
        <f t="shared" si="20"/>
        <v>1583169.9408333329</v>
      </c>
      <c r="U37" s="66">
        <f t="shared" si="20"/>
        <v>1613186.1148333331</v>
      </c>
      <c r="V37" s="66">
        <f t="shared" si="20"/>
        <v>1613186.1148333331</v>
      </c>
      <c r="W37" s="66">
        <f t="shared" si="20"/>
        <v>1583169.9408333329</v>
      </c>
      <c r="X37" s="66">
        <f t="shared" si="20"/>
        <v>1613186.1148333331</v>
      </c>
      <c r="Y37" s="66">
        <f t="shared" si="20"/>
        <v>1553153.7668333333</v>
      </c>
      <c r="Z37" s="66">
        <f t="shared" si="20"/>
        <v>1613186.1148333331</v>
      </c>
      <c r="AA37" s="66">
        <f t="shared" si="20"/>
        <v>1222975.8528333332</v>
      </c>
      <c r="AB37" s="66">
        <f t="shared" si="20"/>
        <v>1523137.5928333332</v>
      </c>
      <c r="AC37" s="66">
        <f t="shared" si="20"/>
        <v>1613186.1148333331</v>
      </c>
      <c r="AD37" s="66">
        <f t="shared" si="20"/>
        <v>1583169.9408333329</v>
      </c>
      <c r="AE37" s="66">
        <f t="shared" si="20"/>
        <v>1613186.1148333331</v>
      </c>
      <c r="AF37" s="66">
        <f t="shared" si="20"/>
        <v>1613186.1148333331</v>
      </c>
      <c r="AG37" s="66">
        <f t="shared" si="20"/>
        <v>1583169.9408333329</v>
      </c>
      <c r="AH37" s="66">
        <f t="shared" si="20"/>
        <v>1613186.1148333331</v>
      </c>
      <c r="AI37" s="66">
        <f t="shared" ref="AI37:AY37" si="21">SUM(AI21:AI36)</f>
        <v>1553153.7668333333</v>
      </c>
      <c r="AJ37" s="66">
        <f t="shared" si="21"/>
        <v>1613186.1148333331</v>
      </c>
      <c r="AK37" s="66">
        <f t="shared" si="21"/>
        <v>1252992.0268333331</v>
      </c>
      <c r="AL37" s="66">
        <f t="shared" si="21"/>
        <v>1493121.4188333333</v>
      </c>
      <c r="AM37" s="66">
        <f t="shared" si="21"/>
        <v>1613186.1148333331</v>
      </c>
      <c r="AN37" s="66">
        <f t="shared" si="21"/>
        <v>1553153.7668333333</v>
      </c>
      <c r="AO37" s="66">
        <f t="shared" si="21"/>
        <v>1613186.1148333331</v>
      </c>
      <c r="AP37" s="66">
        <f t="shared" si="21"/>
        <v>1583169.9408333329</v>
      </c>
      <c r="AQ37" s="66">
        <f t="shared" si="21"/>
        <v>1613186.1148333331</v>
      </c>
      <c r="AR37" s="66">
        <f t="shared" si="21"/>
        <v>1613186.1148333331</v>
      </c>
      <c r="AS37" s="66">
        <f t="shared" si="21"/>
        <v>1583169.9408333329</v>
      </c>
      <c r="AT37" s="66">
        <f t="shared" si="21"/>
        <v>1613186.1148333331</v>
      </c>
      <c r="AU37" s="66">
        <f t="shared" si="21"/>
        <v>1553153.7668333333</v>
      </c>
      <c r="AV37" s="66">
        <f t="shared" si="21"/>
        <v>1613186.1148333331</v>
      </c>
      <c r="AW37" s="66">
        <f t="shared" si="21"/>
        <v>1252992.0268333331</v>
      </c>
      <c r="AX37" s="66">
        <f t="shared" si="21"/>
        <v>1493121.4188333333</v>
      </c>
      <c r="AY37" s="66">
        <f t="shared" si="21"/>
        <v>1613186.1148333331</v>
      </c>
      <c r="BA37" s="66">
        <f>SUM(BA21:BA36)</f>
        <v>18697877.549999997</v>
      </c>
    </row>
    <row r="38" spans="1:53" ht="12.75" customHeight="1" x14ac:dyDescent="0.25">
      <c r="B38" s="61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</row>
    <row r="39" spans="1:53" ht="12.75" customHeight="1" x14ac:dyDescent="0.3">
      <c r="B39" s="61" t="s">
        <v>177</v>
      </c>
      <c r="C39" s="45">
        <f>--'Bal Sheet Workings'!C9</f>
        <v>0</v>
      </c>
      <c r="D39" s="45">
        <f>-'Bal Sheet Workings'!D9</f>
        <v>0</v>
      </c>
      <c r="E39" s="45">
        <f>-'Bal Sheet Workings'!E9</f>
        <v>0</v>
      </c>
      <c r="F39" s="45">
        <f>-'Bal Sheet Workings'!F9</f>
        <v>-20000</v>
      </c>
      <c r="G39" s="45">
        <f>-'Bal Sheet Workings'!G9</f>
        <v>0</v>
      </c>
      <c r="H39" s="45">
        <f>-'Bal Sheet Workings'!H9</f>
        <v>0</v>
      </c>
      <c r="I39" s="45">
        <f>-'Bal Sheet Workings'!I9</f>
        <v>0</v>
      </c>
      <c r="J39" s="45">
        <f>-'Bal Sheet Workings'!J9</f>
        <v>0</v>
      </c>
      <c r="K39" s="45">
        <f>-'Bal Sheet Workings'!K9</f>
        <v>0</v>
      </c>
      <c r="L39" s="45">
        <f>-'Bal Sheet Workings'!L9</f>
        <v>0</v>
      </c>
      <c r="M39" s="45">
        <f>-'Bal Sheet Workings'!M9</f>
        <v>0</v>
      </c>
      <c r="N39" s="45">
        <f>-'Bal Sheet Workings'!N9</f>
        <v>0</v>
      </c>
      <c r="O39" s="45">
        <f>-'Bal Sheet Workings'!O9</f>
        <v>0</v>
      </c>
      <c r="P39" s="45">
        <f>-'Bal Sheet Workings'!P9</f>
        <v>0</v>
      </c>
      <c r="Q39" s="45">
        <f>-'Bal Sheet Workings'!Q9</f>
        <v>0</v>
      </c>
      <c r="R39" s="45">
        <f>'Cashflow Workings'!R39</f>
        <v>0</v>
      </c>
      <c r="S39" s="45">
        <f>'Cashflow Workings'!S39</f>
        <v>0</v>
      </c>
      <c r="T39" s="45">
        <f>'Cashflow Workings'!T39</f>
        <v>0</v>
      </c>
      <c r="U39" s="45">
        <f>'Cashflow Workings'!U39</f>
        <v>0</v>
      </c>
      <c r="V39" s="45">
        <f>'Cashflow Workings'!V39</f>
        <v>0</v>
      </c>
      <c r="W39" s="45">
        <f>'Cashflow Workings'!W39</f>
        <v>0</v>
      </c>
      <c r="X39" s="45">
        <f>'Cashflow Workings'!X39</f>
        <v>0</v>
      </c>
      <c r="Y39" s="45">
        <f>'Cashflow Workings'!Y39</f>
        <v>0</v>
      </c>
      <c r="Z39" s="45">
        <f>'Cashflow Workings'!Z39</f>
        <v>0</v>
      </c>
      <c r="AA39" s="45">
        <f>'Cashflow Workings'!AA39</f>
        <v>0</v>
      </c>
      <c r="AB39" s="45">
        <f>'Cashflow Workings'!AB39</f>
        <v>0</v>
      </c>
      <c r="AC39" s="45">
        <f>'Cashflow Workings'!AC39</f>
        <v>0</v>
      </c>
      <c r="AD39" s="45">
        <f>-'Bal Sheet Workings'!AF9</f>
        <v>0</v>
      </c>
      <c r="AE39" s="45">
        <f>-'Bal Sheet Workings'!AG9</f>
        <v>0</v>
      </c>
      <c r="AF39" s="45">
        <f>-'Bal Sheet Workings'!AH9</f>
        <v>0</v>
      </c>
      <c r="AG39" s="45">
        <f>-'Bal Sheet Workings'!AI9</f>
        <v>0</v>
      </c>
      <c r="AH39" s="45">
        <f>-'Bal Sheet Workings'!AJ9</f>
        <v>0</v>
      </c>
      <c r="AI39" s="45">
        <f>-'Bal Sheet Workings'!AK9</f>
        <v>0</v>
      </c>
      <c r="AJ39" s="45">
        <f>-'Bal Sheet Workings'!AL9</f>
        <v>0</v>
      </c>
      <c r="AK39" s="45">
        <f>-'Bal Sheet Workings'!AM9</f>
        <v>0</v>
      </c>
      <c r="AL39" s="45">
        <f>-'Bal Sheet Workings'!AN9</f>
        <v>0</v>
      </c>
      <c r="AM39" s="45">
        <f>-'Bal Sheet Workings'!AO9</f>
        <v>0</v>
      </c>
      <c r="AN39" s="45">
        <f>-'Bal Sheet Workings'!AP9</f>
        <v>0</v>
      </c>
      <c r="AO39" s="45">
        <f>-'Bal Sheet Workings'!AQ9</f>
        <v>0</v>
      </c>
      <c r="AP39" s="45">
        <f>-'Bal Sheet Workings'!AR9</f>
        <v>0</v>
      </c>
      <c r="AQ39" s="45">
        <f>-'Bal Sheet Workings'!AS9</f>
        <v>0</v>
      </c>
      <c r="AR39" s="45">
        <f>-'Bal Sheet Workings'!AT9</f>
        <v>0</v>
      </c>
      <c r="AS39" s="45">
        <f>-'Bal Sheet Workings'!AU9</f>
        <v>0</v>
      </c>
      <c r="AT39" s="45">
        <f>-'Bal Sheet Workings'!AV9</f>
        <v>0</v>
      </c>
      <c r="AU39" s="45">
        <f>-'Bal Sheet Workings'!AW9</f>
        <v>0</v>
      </c>
      <c r="AV39" s="45">
        <f>-'Bal Sheet Workings'!AX9</f>
        <v>0</v>
      </c>
      <c r="AW39" s="45">
        <f>-'Bal Sheet Workings'!AY9</f>
        <v>0</v>
      </c>
      <c r="AX39" s="45">
        <f>-'Bal Sheet Workings'!AZ9</f>
        <v>0</v>
      </c>
      <c r="AY39" s="45">
        <f>-'Bal Sheet Workings'!BA9</f>
        <v>0</v>
      </c>
      <c r="BA39" s="2">
        <f>SUM(R39:AC39)</f>
        <v>0</v>
      </c>
    </row>
    <row r="40" spans="1:53" ht="12.75" customHeight="1" x14ac:dyDescent="0.3">
      <c r="B40" s="61" t="s">
        <v>178</v>
      </c>
      <c r="F40" s="25">
        <f>-E61</f>
        <v>0</v>
      </c>
      <c r="I40" s="25">
        <f>-F61</f>
        <v>0</v>
      </c>
      <c r="L40" s="25">
        <f>-G61</f>
        <v>0</v>
      </c>
      <c r="O40" s="25">
        <f>-I61</f>
        <v>0</v>
      </c>
      <c r="R40" s="45">
        <f>'Cashflow Workings'!R40</f>
        <v>0</v>
      </c>
      <c r="S40" s="45">
        <f>'Cashflow Workings'!S40</f>
        <v>0</v>
      </c>
      <c r="T40" s="45">
        <f>'Cashflow Workings'!T40</f>
        <v>0</v>
      </c>
      <c r="U40" s="45">
        <f>'Cashflow Workings'!U40</f>
        <v>0</v>
      </c>
      <c r="V40" s="45">
        <f>'Cashflow Workings'!V40</f>
        <v>0</v>
      </c>
      <c r="W40" s="45">
        <f>'Cashflow Workings'!W40</f>
        <v>0</v>
      </c>
      <c r="X40" s="45">
        <f>'Cashflow Workings'!X40</f>
        <v>-35958.838163989312</v>
      </c>
      <c r="Y40" s="45">
        <f>'Cashflow Workings'!Y40</f>
        <v>0</v>
      </c>
      <c r="Z40" s="45">
        <f>'Cashflow Workings'!Z40</f>
        <v>182615.72938461541</v>
      </c>
      <c r="AA40" s="45">
        <f>'Cashflow Workings'!AA40</f>
        <v>-35958.838163989312</v>
      </c>
      <c r="AB40" s="45">
        <f>'Cashflow Workings'!AB40</f>
        <v>0</v>
      </c>
      <c r="AC40" s="45">
        <f>'Cashflow Workings'!AC40</f>
        <v>0</v>
      </c>
      <c r="AE40" s="25">
        <f>-F63</f>
        <v>-35958.838163989312</v>
      </c>
      <c r="AH40" s="25">
        <f>-G63</f>
        <v>-125520.60026673059</v>
      </c>
      <c r="AK40" s="25">
        <f>-I63</f>
        <v>-125520.60026673059</v>
      </c>
      <c r="AN40" s="25">
        <f>-E64</f>
        <v>-125520.60026673059</v>
      </c>
      <c r="AQ40" s="25">
        <f>-F64</f>
        <v>-125520.60026673059</v>
      </c>
      <c r="AT40" s="25">
        <f>-G64</f>
        <v>-209262.86872050789</v>
      </c>
      <c r="AW40" s="25">
        <f>-I64</f>
        <v>-209262.86872050789</v>
      </c>
      <c r="BA40" s="2">
        <f>SUM(R40:AC40)</f>
        <v>110698.0530566368</v>
      </c>
    </row>
    <row r="41" spans="1:53" ht="12.75" customHeight="1" x14ac:dyDescent="0.3">
      <c r="B41" s="61" t="s">
        <v>179</v>
      </c>
      <c r="R41" s="45">
        <f>'Cashflow Workings'!R41</f>
        <v>112498.98162906134</v>
      </c>
      <c r="S41" s="45">
        <f>'Cashflow Workings'!S41</f>
        <v>112498.98162906134</v>
      </c>
      <c r="T41" s="45">
        <f>'Cashflow Workings'!T41</f>
        <v>112498.98162906134</v>
      </c>
      <c r="U41" s="45">
        <f>'Cashflow Workings'!U41</f>
        <v>112498.98162906134</v>
      </c>
      <c r="V41" s="45">
        <f>'Cashflow Workings'!V41</f>
        <v>112498.98162906134</v>
      </c>
      <c r="W41" s="45">
        <f>'Cashflow Workings'!W41</f>
        <v>112498.98162906134</v>
      </c>
      <c r="X41" s="45">
        <f>'Cashflow Workings'!X41</f>
        <v>112498.98162906134</v>
      </c>
      <c r="Y41" s="45">
        <f>'Cashflow Workings'!Y41</f>
        <v>112498.98162906134</v>
      </c>
      <c r="Z41" s="45">
        <f>'Cashflow Workings'!Z41</f>
        <v>112498.98162906134</v>
      </c>
      <c r="AA41" s="45">
        <f>'Cashflow Workings'!AA41</f>
        <v>112498.98162906134</v>
      </c>
      <c r="AB41" s="45">
        <f>'Cashflow Workings'!AB41</f>
        <v>112498.98162906134</v>
      </c>
      <c r="AC41" s="45">
        <f>'Cashflow Workings'!AC41</f>
        <v>112498.98162906134</v>
      </c>
      <c r="AD41" s="25">
        <f>'Cashflow Workings'!AD41</f>
        <v>0</v>
      </c>
      <c r="AE41" s="25">
        <f>'Cashflow Workings'!AE41</f>
        <v>0</v>
      </c>
      <c r="AF41" s="25">
        <f>'Cashflow Workings'!AF41</f>
        <v>0</v>
      </c>
      <c r="AG41" s="25">
        <f>'Cashflow Workings'!AG41</f>
        <v>0</v>
      </c>
      <c r="AH41" s="25">
        <f>'Cashflow Workings'!AH41</f>
        <v>0</v>
      </c>
      <c r="AI41" s="25">
        <f>'Cashflow Workings'!AI41</f>
        <v>0</v>
      </c>
      <c r="AJ41" s="25">
        <f>'Cashflow Workings'!AJ41</f>
        <v>0</v>
      </c>
      <c r="AK41" s="25">
        <f>'Cashflow Workings'!AK41</f>
        <v>0</v>
      </c>
      <c r="AL41" s="25">
        <f>'Cashflow Workings'!AL41</f>
        <v>0</v>
      </c>
      <c r="AM41" s="25">
        <f>'Cashflow Workings'!AM41</f>
        <v>0</v>
      </c>
      <c r="AN41" s="25">
        <f>'Cashflow Workings'!AN41</f>
        <v>0</v>
      </c>
      <c r="AO41" s="25">
        <f>'Cashflow Workings'!AO41</f>
        <v>0</v>
      </c>
      <c r="AP41" s="25">
        <f>'Cashflow Workings'!AP41</f>
        <v>0</v>
      </c>
      <c r="AQ41" s="25">
        <f>'Cashflow Workings'!AQ41</f>
        <v>0</v>
      </c>
      <c r="AR41" s="25">
        <f>'Cashflow Workings'!AR41</f>
        <v>0</v>
      </c>
      <c r="AS41" s="25">
        <f>'Cashflow Workings'!AS41</f>
        <v>0</v>
      </c>
      <c r="AT41" s="25">
        <f>'Cashflow Workings'!AT41</f>
        <v>0</v>
      </c>
      <c r="AU41" s="25">
        <f>'Cashflow Workings'!AU41</f>
        <v>0</v>
      </c>
      <c r="AV41" s="25">
        <f>'Cashflow Workings'!AV41</f>
        <v>0</v>
      </c>
      <c r="AW41" s="25">
        <f>'Cashflow Workings'!AW41</f>
        <v>0</v>
      </c>
      <c r="AX41" s="25">
        <f>'Cashflow Workings'!AX41</f>
        <v>0</v>
      </c>
      <c r="AY41" s="25">
        <f>'Cashflow Workings'!AY41</f>
        <v>0</v>
      </c>
      <c r="BA41" s="2">
        <f>SUM(R41:AC41)</f>
        <v>1349987.7795487356</v>
      </c>
    </row>
    <row r="42" spans="1:53" ht="12.75" customHeight="1" x14ac:dyDescent="0.3">
      <c r="B42" s="61" t="s">
        <v>180</v>
      </c>
      <c r="F42" s="25">
        <f>SUM(C55:E55)</f>
        <v>-134873.65979487181</v>
      </c>
      <c r="I42" s="25">
        <f>SUM(F55:H55)</f>
        <v>349893.53125</v>
      </c>
      <c r="L42" s="25">
        <f>SUM(I55:K55)</f>
        <v>411394.55074999994</v>
      </c>
      <c r="O42" s="25">
        <f>SUM(L55:N55)</f>
        <v>344023.87209999992</v>
      </c>
      <c r="R42" s="45">
        <f>'Cashflow Workings'!R42</f>
        <v>264739.14524999994</v>
      </c>
      <c r="S42" s="45">
        <f>'Cashflow Workings'!S42</f>
        <v>0</v>
      </c>
      <c r="T42" s="45">
        <f>'Cashflow Workings'!T42</f>
        <v>0</v>
      </c>
      <c r="U42" s="45">
        <f>'Cashflow Workings'!U42</f>
        <v>409030.08250000002</v>
      </c>
      <c r="V42" s="45">
        <f>'Cashflow Workings'!V42</f>
        <v>0</v>
      </c>
      <c r="W42" s="45">
        <f>'Cashflow Workings'!W42</f>
        <v>0</v>
      </c>
      <c r="X42" s="45">
        <f>'Cashflow Workings'!X42</f>
        <v>480003.17299999995</v>
      </c>
      <c r="Y42" s="45">
        <f>'Cashflow Workings'!Y42</f>
        <v>0</v>
      </c>
      <c r="Z42" s="45">
        <f>'Cashflow Workings'!Z42</f>
        <v>0</v>
      </c>
      <c r="AA42" s="45">
        <f>'Cashflow Workings'!AA42</f>
        <v>401363.7855</v>
      </c>
      <c r="AB42" s="45">
        <f>'Cashflow Workings'!AB42</f>
        <v>0</v>
      </c>
      <c r="AC42" s="45">
        <f>'Cashflow Workings'!AC42</f>
        <v>0</v>
      </c>
      <c r="AE42" s="25">
        <f>SUM(AD55:AD55)</f>
        <v>161392.0033333333</v>
      </c>
      <c r="AH42" s="25">
        <f>SUM(AE55:AG55)</f>
        <v>516136.04424999992</v>
      </c>
      <c r="AK42" s="25">
        <f>SUM(AH55:AJ55)</f>
        <v>435191.77549999999</v>
      </c>
      <c r="AN42" s="25">
        <f>SUM(AK55:AM55)</f>
        <v>332592.979375</v>
      </c>
      <c r="AQ42" s="25">
        <f>SUM(AN55:AP55)</f>
        <v>489737.26762499986</v>
      </c>
      <c r="AT42" s="25">
        <f>SUM(AQ55:AS55)</f>
        <v>548655.9879999999</v>
      </c>
      <c r="AW42" s="25">
        <f>SUM(AT55:AV55)</f>
        <v>467407.96737499989</v>
      </c>
      <c r="BA42" s="2">
        <f>SUM(R42:AC42)</f>
        <v>1555136.18625</v>
      </c>
    </row>
    <row r="43" spans="1:53" ht="12.75" customHeight="1" x14ac:dyDescent="0.25">
      <c r="B43" s="61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</row>
    <row r="44" spans="1:53" s="2" customFormat="1" ht="12.75" customHeight="1" x14ac:dyDescent="0.3">
      <c r="B44" s="16"/>
      <c r="C44" s="67">
        <f t="shared" ref="C44:AH44" si="22">SUM(C37:C43)</f>
        <v>1352500</v>
      </c>
      <c r="D44" s="67">
        <f t="shared" si="22"/>
        <v>0</v>
      </c>
      <c r="E44" s="67">
        <f t="shared" si="22"/>
        <v>1090739.1506007325</v>
      </c>
      <c r="F44" s="67">
        <f t="shared" si="22"/>
        <v>1421405.1070384635</v>
      </c>
      <c r="G44" s="67">
        <f t="shared" si="22"/>
        <v>1628205.6524481473</v>
      </c>
      <c r="H44" s="67">
        <f t="shared" si="22"/>
        <v>1597580.2319230582</v>
      </c>
      <c r="I44" s="67">
        <f t="shared" si="22"/>
        <v>1976876.8828571877</v>
      </c>
      <c r="J44" s="67">
        <f t="shared" si="22"/>
        <v>1626366.4657018429</v>
      </c>
      <c r="K44" s="67">
        <f t="shared" si="22"/>
        <v>1595729.5502595895</v>
      </c>
      <c r="L44" s="67">
        <f t="shared" si="22"/>
        <v>2036515.6539333223</v>
      </c>
      <c r="M44" s="67">
        <f t="shared" si="22"/>
        <v>1564460.2302253286</v>
      </c>
      <c r="N44" s="67">
        <f t="shared" si="22"/>
        <v>1623860.1249863468</v>
      </c>
      <c r="O44" s="67">
        <f t="shared" si="22"/>
        <v>1607053.5030146218</v>
      </c>
      <c r="P44" s="67">
        <f t="shared" si="22"/>
        <v>1502518.6393049485</v>
      </c>
      <c r="Q44" s="67">
        <f t="shared" si="22"/>
        <v>1621938.9492977145</v>
      </c>
      <c r="R44" s="67">
        <f t="shared" si="22"/>
        <v>1930391.8937123944</v>
      </c>
      <c r="S44" s="67">
        <f t="shared" si="22"/>
        <v>1725685.0964623943</v>
      </c>
      <c r="T44" s="67">
        <f t="shared" si="22"/>
        <v>1695668.9224623942</v>
      </c>
      <c r="U44" s="67">
        <f t="shared" si="22"/>
        <v>2134715.1789623946</v>
      </c>
      <c r="V44" s="67">
        <f t="shared" si="22"/>
        <v>1725685.0964623943</v>
      </c>
      <c r="W44" s="67">
        <f t="shared" si="22"/>
        <v>1695668.9224623942</v>
      </c>
      <c r="X44" s="67">
        <f t="shared" si="22"/>
        <v>2169729.4312984049</v>
      </c>
      <c r="Y44" s="67">
        <f t="shared" si="22"/>
        <v>1665652.7484623946</v>
      </c>
      <c r="Z44" s="67">
        <f t="shared" si="22"/>
        <v>1908300.8258470097</v>
      </c>
      <c r="AA44" s="67">
        <f t="shared" si="22"/>
        <v>1700879.7817984051</v>
      </c>
      <c r="AB44" s="67">
        <f t="shared" si="22"/>
        <v>1635636.5744623945</v>
      </c>
      <c r="AC44" s="67">
        <f t="shared" si="22"/>
        <v>1725685.0964623943</v>
      </c>
      <c r="AD44" s="67">
        <f t="shared" si="22"/>
        <v>1583169.9408333329</v>
      </c>
      <c r="AE44" s="67">
        <f t="shared" si="22"/>
        <v>1738619.2800026769</v>
      </c>
      <c r="AF44" s="67">
        <f t="shared" si="22"/>
        <v>1613186.1148333331</v>
      </c>
      <c r="AG44" s="67">
        <f t="shared" si="22"/>
        <v>1583169.9408333329</v>
      </c>
      <c r="AH44" s="67">
        <f t="shared" si="22"/>
        <v>2003801.5588166025</v>
      </c>
      <c r="AI44" s="67">
        <f t="shared" ref="AI44:AY44" si="23">SUM(AI37:AI43)</f>
        <v>1553153.7668333333</v>
      </c>
      <c r="AJ44" s="67">
        <f t="shared" si="23"/>
        <v>1613186.1148333331</v>
      </c>
      <c r="AK44" s="67">
        <f t="shared" si="23"/>
        <v>1562663.2020666024</v>
      </c>
      <c r="AL44" s="67">
        <f t="shared" si="23"/>
        <v>1493121.4188333333</v>
      </c>
      <c r="AM44" s="67">
        <f t="shared" si="23"/>
        <v>1613186.1148333331</v>
      </c>
      <c r="AN44" s="67">
        <f t="shared" si="23"/>
        <v>1760226.1459416025</v>
      </c>
      <c r="AO44" s="67">
        <f t="shared" si="23"/>
        <v>1613186.1148333331</v>
      </c>
      <c r="AP44" s="67">
        <f t="shared" si="23"/>
        <v>1583169.9408333329</v>
      </c>
      <c r="AQ44" s="67">
        <f t="shared" si="23"/>
        <v>1977402.7821916023</v>
      </c>
      <c r="AR44" s="67">
        <f t="shared" si="23"/>
        <v>1613186.1148333331</v>
      </c>
      <c r="AS44" s="67">
        <f t="shared" si="23"/>
        <v>1583169.9408333329</v>
      </c>
      <c r="AT44" s="67">
        <f t="shared" si="23"/>
        <v>1952579.234112825</v>
      </c>
      <c r="AU44" s="67">
        <f t="shared" si="23"/>
        <v>1553153.7668333333</v>
      </c>
      <c r="AV44" s="67">
        <f t="shared" si="23"/>
        <v>1613186.1148333331</v>
      </c>
      <c r="AW44" s="67">
        <f t="shared" si="23"/>
        <v>1511137.1254878249</v>
      </c>
      <c r="AX44" s="67">
        <f t="shared" si="23"/>
        <v>1493121.4188333333</v>
      </c>
      <c r="AY44" s="67">
        <f t="shared" si="23"/>
        <v>1613186.1148333331</v>
      </c>
      <c r="BA44" s="67">
        <f>SUM(BA37:BA43)</f>
        <v>21713699.568855368</v>
      </c>
    </row>
    <row r="45" spans="1:53" ht="12.75" customHeight="1" x14ac:dyDescent="0.25">
      <c r="B45" s="61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</row>
    <row r="46" spans="1:53" ht="15.75" customHeight="1" x14ac:dyDescent="0.35">
      <c r="A46" s="42" t="s">
        <v>181</v>
      </c>
      <c r="B46" s="61"/>
      <c r="C46" s="25">
        <f t="shared" ref="C46:AH46" si="24">C17-C44</f>
        <v>147500</v>
      </c>
      <c r="D46" s="25">
        <f t="shared" si="24"/>
        <v>0</v>
      </c>
      <c r="E46" s="25">
        <f t="shared" si="24"/>
        <v>-699449.90060073254</v>
      </c>
      <c r="F46" s="25">
        <f t="shared" si="24"/>
        <v>243176.18071153667</v>
      </c>
      <c r="G46" s="25">
        <f t="shared" si="24"/>
        <v>151174.34480185271</v>
      </c>
      <c r="H46" s="25">
        <f t="shared" si="24"/>
        <v>241726.68682694179</v>
      </c>
      <c r="I46" s="25">
        <f t="shared" si="24"/>
        <v>27806.491517812479</v>
      </c>
      <c r="J46" s="25">
        <f t="shared" si="24"/>
        <v>378316.90867315722</v>
      </c>
      <c r="K46" s="25">
        <f t="shared" si="24"/>
        <v>126251.09224041062</v>
      </c>
      <c r="L46" s="25">
        <f t="shared" si="24"/>
        <v>-257135.65668332228</v>
      </c>
      <c r="M46" s="25">
        <f t="shared" si="24"/>
        <v>100121.05752467155</v>
      </c>
      <c r="N46" s="25">
        <f t="shared" si="24"/>
        <v>193608.11061365297</v>
      </c>
      <c r="O46" s="25">
        <f t="shared" si="24"/>
        <v>-516465.76276462176</v>
      </c>
      <c r="P46" s="25">
        <f t="shared" si="24"/>
        <v>47263.938945051515</v>
      </c>
      <c r="Q46" s="25">
        <f t="shared" si="24"/>
        <v>157441.0479522855</v>
      </c>
      <c r="R46" s="25">
        <f t="shared" si="24"/>
        <v>-162225.49146239436</v>
      </c>
      <c r="S46" s="25">
        <f t="shared" si="24"/>
        <v>164423.81628760579</v>
      </c>
      <c r="T46" s="25">
        <f t="shared" si="24"/>
        <v>263383.66753760586</v>
      </c>
      <c r="U46" s="25">
        <f t="shared" si="24"/>
        <v>14518.634037605487</v>
      </c>
      <c r="V46" s="25">
        <f t="shared" si="24"/>
        <v>423548.71653760574</v>
      </c>
      <c r="W46" s="25">
        <f t="shared" si="24"/>
        <v>133468.73503760574</v>
      </c>
      <c r="X46" s="25">
        <f t="shared" si="24"/>
        <v>-279620.5185484048</v>
      </c>
      <c r="Y46" s="25">
        <f t="shared" si="24"/>
        <v>102513.65378760546</v>
      </c>
      <c r="Z46" s="25">
        <f t="shared" si="24"/>
        <v>16149.94115299033</v>
      </c>
      <c r="AA46" s="25">
        <f t="shared" si="24"/>
        <v>-603397.18729840498</v>
      </c>
      <c r="AB46" s="25">
        <f t="shared" si="24"/>
        <v>71558.572537605418</v>
      </c>
      <c r="AC46" s="25">
        <f t="shared" si="24"/>
        <v>164423.81628760579</v>
      </c>
      <c r="AD46" s="25">
        <f t="shared" si="24"/>
        <v>478456.436666667</v>
      </c>
      <c r="AE46" s="25">
        <f t="shared" si="24"/>
        <v>516607.44674732303</v>
      </c>
      <c r="AF46" s="25">
        <f t="shared" si="24"/>
        <v>642040.61191666685</v>
      </c>
      <c r="AG46" s="25">
        <f t="shared" si="24"/>
        <v>340988.31041666702</v>
      </c>
      <c r="AH46" s="25">
        <f t="shared" si="24"/>
        <v>-15504.699191602413</v>
      </c>
      <c r="AI46" s="25">
        <f t="shared" ref="AI46:AY46" si="25">AI17-AI44</f>
        <v>306865.87604166684</v>
      </c>
      <c r="AJ46" s="25">
        <f t="shared" si="25"/>
        <v>412054.25466666697</v>
      </c>
      <c r="AK46" s="25">
        <f t="shared" si="25"/>
        <v>-344029.64294160251</v>
      </c>
      <c r="AL46" s="25">
        <f t="shared" si="25"/>
        <v>238621.0072916667</v>
      </c>
      <c r="AM46" s="25">
        <f t="shared" si="25"/>
        <v>375110.74479166698</v>
      </c>
      <c r="AN46" s="25">
        <f t="shared" si="25"/>
        <v>235359.86218339717</v>
      </c>
      <c r="AO46" s="25">
        <f t="shared" si="25"/>
        <v>483083.00466666697</v>
      </c>
      <c r="AP46" s="25">
        <f t="shared" si="25"/>
        <v>547193.936666667</v>
      </c>
      <c r="AQ46" s="25">
        <f t="shared" si="25"/>
        <v>348852.69455839763</v>
      </c>
      <c r="AR46" s="25">
        <f t="shared" si="25"/>
        <v>713069.36191666685</v>
      </c>
      <c r="AS46" s="25">
        <f t="shared" si="25"/>
        <v>417279.00416666688</v>
      </c>
      <c r="AT46" s="25">
        <f t="shared" si="25"/>
        <v>114551.34238717495</v>
      </c>
      <c r="AU46" s="25">
        <f t="shared" si="25"/>
        <v>373312.12604166684</v>
      </c>
      <c r="AV46" s="25">
        <f t="shared" si="25"/>
        <v>483083.00466666697</v>
      </c>
      <c r="AW46" s="25">
        <f t="shared" si="25"/>
        <v>-248969.81636282476</v>
      </c>
      <c r="AX46" s="25">
        <f t="shared" si="25"/>
        <v>300484.7572916667</v>
      </c>
      <c r="AY46" s="25">
        <f t="shared" si="25"/>
        <v>446139.49479166698</v>
      </c>
      <c r="BA46" s="25">
        <f>BA17-BA44</f>
        <v>308746.35589463264</v>
      </c>
    </row>
    <row r="47" spans="1:53" ht="12.75" customHeight="1" x14ac:dyDescent="0.25">
      <c r="B47" s="61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</row>
    <row r="48" spans="1:53" ht="12.75" customHeight="1" x14ac:dyDescent="0.25">
      <c r="A48" s="1" t="s">
        <v>182</v>
      </c>
      <c r="B48" s="61"/>
      <c r="C48" s="25">
        <v>0</v>
      </c>
      <c r="D48" s="25">
        <f t="shared" ref="D48:Q48" si="26">C50</f>
        <v>147500</v>
      </c>
      <c r="E48" s="25">
        <f t="shared" si="26"/>
        <v>147500</v>
      </c>
      <c r="F48" s="25">
        <f t="shared" si="26"/>
        <v>-551949.90060073254</v>
      </c>
      <c r="G48" s="25">
        <f t="shared" si="26"/>
        <v>-308773.71988919587</v>
      </c>
      <c r="H48" s="25">
        <f t="shared" si="26"/>
        <v>-157599.37508734316</v>
      </c>
      <c r="I48" s="25">
        <f t="shared" si="26"/>
        <v>84127.311739598634</v>
      </c>
      <c r="J48" s="25">
        <f t="shared" si="26"/>
        <v>111933.80325741111</v>
      </c>
      <c r="K48" s="25">
        <f t="shared" si="26"/>
        <v>490250.71193056833</v>
      </c>
      <c r="L48" s="25">
        <f t="shared" si="26"/>
        <v>616501.80417097895</v>
      </c>
      <c r="M48" s="25">
        <f t="shared" si="26"/>
        <v>359366.14748765668</v>
      </c>
      <c r="N48" s="25">
        <f t="shared" si="26"/>
        <v>459487.20501232822</v>
      </c>
      <c r="O48" s="25">
        <f t="shared" si="26"/>
        <v>653095.31562598119</v>
      </c>
      <c r="P48" s="25">
        <f t="shared" si="26"/>
        <v>136629.55286135944</v>
      </c>
      <c r="Q48" s="25">
        <f t="shared" si="26"/>
        <v>183893.49180641095</v>
      </c>
      <c r="R48" s="25">
        <f>'Cashflow 2006_07'!P50</f>
        <v>3852371.5268954057</v>
      </c>
      <c r="S48" s="25">
        <f t="shared" ref="S48:AC48" si="27">R50</f>
        <v>3690146.0354330111</v>
      </c>
      <c r="T48" s="25">
        <f t="shared" si="27"/>
        <v>3854569.8517206172</v>
      </c>
      <c r="U48" s="25">
        <f t="shared" si="27"/>
        <v>4117953.519258223</v>
      </c>
      <c r="V48" s="25">
        <f t="shared" si="27"/>
        <v>4132472.1532958285</v>
      </c>
      <c r="W48" s="25">
        <f t="shared" si="27"/>
        <v>4556020.869833434</v>
      </c>
      <c r="X48" s="25">
        <f t="shared" si="27"/>
        <v>4689489.6048710402</v>
      </c>
      <c r="Y48" s="25">
        <f t="shared" si="27"/>
        <v>4409869.0863226354</v>
      </c>
      <c r="Z48" s="25">
        <f t="shared" si="27"/>
        <v>4512382.7401102409</v>
      </c>
      <c r="AA48" s="25">
        <f t="shared" si="27"/>
        <v>4528532.6812632307</v>
      </c>
      <c r="AB48" s="25">
        <f t="shared" si="27"/>
        <v>3925135.4939648258</v>
      </c>
      <c r="AC48" s="25">
        <f t="shared" si="27"/>
        <v>3996694.0665024314</v>
      </c>
      <c r="AD48" s="25" t="e">
        <f>#REF!</f>
        <v>#REF!</v>
      </c>
      <c r="AE48" s="25" t="e">
        <f t="shared" ref="AE48:AY48" si="28">AD50</f>
        <v>#REF!</v>
      </c>
      <c r="AF48" s="25" t="e">
        <f t="shared" si="28"/>
        <v>#REF!</v>
      </c>
      <c r="AG48" s="25" t="e">
        <f t="shared" si="28"/>
        <v>#REF!</v>
      </c>
      <c r="AH48" s="25" t="e">
        <f t="shared" si="28"/>
        <v>#REF!</v>
      </c>
      <c r="AI48" s="25" t="e">
        <f t="shared" si="28"/>
        <v>#REF!</v>
      </c>
      <c r="AJ48" s="25" t="e">
        <f t="shared" si="28"/>
        <v>#REF!</v>
      </c>
      <c r="AK48" s="25" t="e">
        <f t="shared" si="28"/>
        <v>#REF!</v>
      </c>
      <c r="AL48" s="25" t="e">
        <f t="shared" si="28"/>
        <v>#REF!</v>
      </c>
      <c r="AM48" s="25" t="e">
        <f t="shared" si="28"/>
        <v>#REF!</v>
      </c>
      <c r="AN48" s="25" t="e">
        <f t="shared" si="28"/>
        <v>#REF!</v>
      </c>
      <c r="AO48" s="25" t="e">
        <f t="shared" si="28"/>
        <v>#REF!</v>
      </c>
      <c r="AP48" s="25" t="e">
        <f t="shared" si="28"/>
        <v>#REF!</v>
      </c>
      <c r="AQ48" s="25" t="e">
        <f t="shared" si="28"/>
        <v>#REF!</v>
      </c>
      <c r="AR48" s="25" t="e">
        <f t="shared" si="28"/>
        <v>#REF!</v>
      </c>
      <c r="AS48" s="25" t="e">
        <f t="shared" si="28"/>
        <v>#REF!</v>
      </c>
      <c r="AT48" s="25" t="e">
        <f t="shared" si="28"/>
        <v>#REF!</v>
      </c>
      <c r="AU48" s="25" t="e">
        <f t="shared" si="28"/>
        <v>#REF!</v>
      </c>
      <c r="AV48" s="25" t="e">
        <f t="shared" si="28"/>
        <v>#REF!</v>
      </c>
      <c r="AW48" s="25" t="e">
        <f t="shared" si="28"/>
        <v>#REF!</v>
      </c>
      <c r="AX48" s="25" t="e">
        <f t="shared" si="28"/>
        <v>#REF!</v>
      </c>
      <c r="AY48" s="25" t="e">
        <f t="shared" si="28"/>
        <v>#REF!</v>
      </c>
      <c r="BA48" s="1">
        <f>R48</f>
        <v>3852371.5268954057</v>
      </c>
    </row>
    <row r="49" spans="1:53" ht="12.75" customHeight="1" x14ac:dyDescent="0.25">
      <c r="B49" s="61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</row>
    <row r="50" spans="1:53" ht="15" customHeight="1" x14ac:dyDescent="0.35">
      <c r="A50" s="42" t="s">
        <v>183</v>
      </c>
      <c r="C50" s="47">
        <f t="shared" ref="C50:AH50" si="29">C46+C48</f>
        <v>147500</v>
      </c>
      <c r="D50" s="47">
        <f t="shared" si="29"/>
        <v>147500</v>
      </c>
      <c r="E50" s="47">
        <f t="shared" si="29"/>
        <v>-551949.90060073254</v>
      </c>
      <c r="F50" s="47">
        <f t="shared" si="29"/>
        <v>-308773.71988919587</v>
      </c>
      <c r="G50" s="47">
        <f t="shared" si="29"/>
        <v>-157599.37508734316</v>
      </c>
      <c r="H50" s="47">
        <f t="shared" si="29"/>
        <v>84127.311739598634</v>
      </c>
      <c r="I50" s="47">
        <f t="shared" si="29"/>
        <v>111933.80325741111</v>
      </c>
      <c r="J50" s="47">
        <f t="shared" si="29"/>
        <v>490250.71193056833</v>
      </c>
      <c r="K50" s="47">
        <f t="shared" si="29"/>
        <v>616501.80417097895</v>
      </c>
      <c r="L50" s="47">
        <f t="shared" si="29"/>
        <v>359366.14748765668</v>
      </c>
      <c r="M50" s="47">
        <f t="shared" si="29"/>
        <v>459487.20501232822</v>
      </c>
      <c r="N50" s="47">
        <f t="shared" si="29"/>
        <v>653095.31562598119</v>
      </c>
      <c r="O50" s="47">
        <f t="shared" si="29"/>
        <v>136629.55286135944</v>
      </c>
      <c r="P50" s="47">
        <f t="shared" si="29"/>
        <v>183893.49180641095</v>
      </c>
      <c r="Q50" s="47">
        <f t="shared" si="29"/>
        <v>341334.53975869645</v>
      </c>
      <c r="R50" s="47">
        <f t="shared" si="29"/>
        <v>3690146.0354330111</v>
      </c>
      <c r="S50" s="47">
        <f t="shared" si="29"/>
        <v>3854569.8517206172</v>
      </c>
      <c r="T50" s="47">
        <f t="shared" si="29"/>
        <v>4117953.519258223</v>
      </c>
      <c r="U50" s="47">
        <f t="shared" si="29"/>
        <v>4132472.1532958285</v>
      </c>
      <c r="V50" s="47">
        <f t="shared" si="29"/>
        <v>4556020.869833434</v>
      </c>
      <c r="W50" s="47">
        <f t="shared" si="29"/>
        <v>4689489.6048710402</v>
      </c>
      <c r="X50" s="47">
        <f t="shared" si="29"/>
        <v>4409869.0863226354</v>
      </c>
      <c r="Y50" s="47">
        <f t="shared" si="29"/>
        <v>4512382.7401102409</v>
      </c>
      <c r="Z50" s="47">
        <f t="shared" si="29"/>
        <v>4528532.6812632307</v>
      </c>
      <c r="AA50" s="47">
        <f t="shared" si="29"/>
        <v>3925135.4939648258</v>
      </c>
      <c r="AB50" s="47">
        <f t="shared" si="29"/>
        <v>3996694.0665024314</v>
      </c>
      <c r="AC50" s="47">
        <f t="shared" si="29"/>
        <v>4161117.8827900374</v>
      </c>
      <c r="AD50" s="47" t="e">
        <f t="shared" si="29"/>
        <v>#REF!</v>
      </c>
      <c r="AE50" s="47" t="e">
        <f t="shared" si="29"/>
        <v>#REF!</v>
      </c>
      <c r="AF50" s="47" t="e">
        <f t="shared" si="29"/>
        <v>#REF!</v>
      </c>
      <c r="AG50" s="47" t="e">
        <f t="shared" si="29"/>
        <v>#REF!</v>
      </c>
      <c r="AH50" s="47" t="e">
        <f t="shared" si="29"/>
        <v>#REF!</v>
      </c>
      <c r="AI50" s="47" t="e">
        <f t="shared" ref="AI50:AY50" si="30">AI46+AI48</f>
        <v>#REF!</v>
      </c>
      <c r="AJ50" s="47" t="e">
        <f t="shared" si="30"/>
        <v>#REF!</v>
      </c>
      <c r="AK50" s="47" t="e">
        <f t="shared" si="30"/>
        <v>#REF!</v>
      </c>
      <c r="AL50" s="47" t="e">
        <f t="shared" si="30"/>
        <v>#REF!</v>
      </c>
      <c r="AM50" s="47" t="e">
        <f t="shared" si="30"/>
        <v>#REF!</v>
      </c>
      <c r="AN50" s="47" t="e">
        <f t="shared" si="30"/>
        <v>#REF!</v>
      </c>
      <c r="AO50" s="47" t="e">
        <f t="shared" si="30"/>
        <v>#REF!</v>
      </c>
      <c r="AP50" s="47" t="e">
        <f t="shared" si="30"/>
        <v>#REF!</v>
      </c>
      <c r="AQ50" s="47" t="e">
        <f t="shared" si="30"/>
        <v>#REF!</v>
      </c>
      <c r="AR50" s="47" t="e">
        <f t="shared" si="30"/>
        <v>#REF!</v>
      </c>
      <c r="AS50" s="47" t="e">
        <f t="shared" si="30"/>
        <v>#REF!</v>
      </c>
      <c r="AT50" s="47" t="e">
        <f t="shared" si="30"/>
        <v>#REF!</v>
      </c>
      <c r="AU50" s="47" t="e">
        <f t="shared" si="30"/>
        <v>#REF!</v>
      </c>
      <c r="AV50" s="47" t="e">
        <f t="shared" si="30"/>
        <v>#REF!</v>
      </c>
      <c r="AW50" s="47" t="e">
        <f t="shared" si="30"/>
        <v>#REF!</v>
      </c>
      <c r="AX50" s="47" t="e">
        <f t="shared" si="30"/>
        <v>#REF!</v>
      </c>
      <c r="AY50" s="47" t="e">
        <f t="shared" si="30"/>
        <v>#REF!</v>
      </c>
      <c r="BA50" s="47">
        <f>BA46+BA48</f>
        <v>4161117.8827900384</v>
      </c>
    </row>
    <row r="51" spans="1:53" ht="12.75" customHeight="1" x14ac:dyDescent="0.25"/>
    <row r="52" spans="1:53" ht="12.75" hidden="1" customHeight="1" x14ac:dyDescent="0.25"/>
    <row r="53" spans="1:53" ht="12.75" hidden="1" customHeight="1" x14ac:dyDescent="0.25">
      <c r="B53" s="1" t="s">
        <v>185</v>
      </c>
      <c r="C53" s="25">
        <f t="shared" ref="C53:AH53" si="31">C10+C12</f>
        <v>0</v>
      </c>
      <c r="D53" s="25">
        <f t="shared" si="31"/>
        <v>0</v>
      </c>
      <c r="E53" s="25">
        <f t="shared" si="31"/>
        <v>57979.249999999993</v>
      </c>
      <c r="F53" s="25">
        <f t="shared" si="31"/>
        <v>244892.95774999997</v>
      </c>
      <c r="G53" s="25">
        <f t="shared" si="31"/>
        <v>261782.12724999999</v>
      </c>
      <c r="H53" s="25">
        <f t="shared" si="31"/>
        <v>270811.66875000001</v>
      </c>
      <c r="I53" s="25">
        <f t="shared" si="31"/>
        <v>295337.94937499997</v>
      </c>
      <c r="J53" s="25">
        <f t="shared" si="31"/>
        <v>295337.94937499997</v>
      </c>
      <c r="K53" s="25">
        <f t="shared" si="31"/>
        <v>253337.54249999998</v>
      </c>
      <c r="L53" s="25">
        <f t="shared" si="31"/>
        <v>261782.12724999999</v>
      </c>
      <c r="M53" s="25">
        <f t="shared" si="31"/>
        <v>244892.95774999997</v>
      </c>
      <c r="N53" s="25">
        <f t="shared" si="31"/>
        <v>267454.84359999996</v>
      </c>
      <c r="O53" s="25">
        <f t="shared" si="31"/>
        <v>160447.11024999997</v>
      </c>
      <c r="P53" s="25">
        <f t="shared" si="31"/>
        <v>228003.78824999998</v>
      </c>
      <c r="Q53" s="25">
        <f t="shared" si="31"/>
        <v>261782.12724999999</v>
      </c>
      <c r="R53" s="25">
        <f t="shared" si="31"/>
        <v>259791.43225000001</v>
      </c>
      <c r="S53" s="25">
        <f t="shared" si="31"/>
        <v>277708.08275</v>
      </c>
      <c r="T53" s="25">
        <f t="shared" si="31"/>
        <v>288098.78999999998</v>
      </c>
      <c r="U53" s="25">
        <f t="shared" si="31"/>
        <v>316301.15299999999</v>
      </c>
      <c r="V53" s="25">
        <f t="shared" si="31"/>
        <v>316301.15299999999</v>
      </c>
      <c r="W53" s="25">
        <f t="shared" si="31"/>
        <v>268749.75749999995</v>
      </c>
      <c r="X53" s="25">
        <f t="shared" si="31"/>
        <v>277708.08275</v>
      </c>
      <c r="Y53" s="25">
        <f t="shared" si="31"/>
        <v>259791.43225000001</v>
      </c>
      <c r="Z53" s="25">
        <f t="shared" si="31"/>
        <v>282822.82699999999</v>
      </c>
      <c r="AA53" s="25">
        <f t="shared" si="31"/>
        <v>161249.85449999999</v>
      </c>
      <c r="AB53" s="25">
        <f t="shared" si="31"/>
        <v>250833.10699999996</v>
      </c>
      <c r="AC53" s="25">
        <f t="shared" si="31"/>
        <v>277708.08275</v>
      </c>
      <c r="AD53" s="25">
        <f t="shared" si="31"/>
        <v>303923.07749999996</v>
      </c>
      <c r="AE53" s="25">
        <f t="shared" si="31"/>
        <v>332652.91674999997</v>
      </c>
      <c r="AF53" s="25">
        <f t="shared" si="31"/>
        <v>332652.91674999997</v>
      </c>
      <c r="AG53" s="25">
        <f t="shared" si="31"/>
        <v>283449.10124999995</v>
      </c>
      <c r="AH53" s="25">
        <f t="shared" si="31"/>
        <v>292897.40462500002</v>
      </c>
      <c r="AI53" s="25">
        <f t="shared" ref="AI53:AY53" si="32">AI10+AI12</f>
        <v>274000.79787499999</v>
      </c>
      <c r="AJ53" s="25">
        <f t="shared" si="32"/>
        <v>298399.62949999998</v>
      </c>
      <c r="AK53" s="25">
        <f t="shared" si="32"/>
        <v>179517.76412499999</v>
      </c>
      <c r="AL53" s="25">
        <f t="shared" si="32"/>
        <v>255104.19112499998</v>
      </c>
      <c r="AM53" s="25">
        <f t="shared" si="32"/>
        <v>292897.40462500002</v>
      </c>
      <c r="AN53" s="25">
        <f t="shared" si="32"/>
        <v>294191.53312499996</v>
      </c>
      <c r="AO53" s="25">
        <f t="shared" si="32"/>
        <v>308978.37949999998</v>
      </c>
      <c r="AP53" s="25">
        <f t="shared" si="32"/>
        <v>314160.57749999996</v>
      </c>
      <c r="AQ53" s="25">
        <f t="shared" si="32"/>
        <v>343231.66674999997</v>
      </c>
      <c r="AR53" s="25">
        <f t="shared" si="32"/>
        <v>343231.66674999997</v>
      </c>
      <c r="AS53" s="25">
        <f t="shared" si="32"/>
        <v>294811.54499999993</v>
      </c>
      <c r="AT53" s="25">
        <f t="shared" si="32"/>
        <v>304638.59649999999</v>
      </c>
      <c r="AU53" s="25">
        <f t="shared" si="32"/>
        <v>283897.04787499999</v>
      </c>
      <c r="AV53" s="25">
        <f t="shared" si="32"/>
        <v>308978.37949999998</v>
      </c>
      <c r="AW53" s="25">
        <f t="shared" si="32"/>
        <v>186001.51412499999</v>
      </c>
      <c r="AX53" s="25">
        <f t="shared" si="32"/>
        <v>264317.94112500001</v>
      </c>
      <c r="AY53" s="25">
        <f t="shared" si="32"/>
        <v>303476.15462500002</v>
      </c>
    </row>
    <row r="54" spans="1:53" ht="12.75" hidden="1" customHeight="1" x14ac:dyDescent="0.25">
      <c r="B54" s="1" t="s">
        <v>186</v>
      </c>
      <c r="C54" s="25">
        <f t="shared" ref="C54:AH54" si="33">-(C36+C31+C29+C27+C25+C23)</f>
        <v>-52500</v>
      </c>
      <c r="D54" s="25">
        <f t="shared" si="33"/>
        <v>0</v>
      </c>
      <c r="E54" s="25">
        <f t="shared" si="33"/>
        <v>-140352.90979487181</v>
      </c>
      <c r="F54" s="25">
        <f t="shared" si="33"/>
        <v>-140018.24016666668</v>
      </c>
      <c r="G54" s="25">
        <f t="shared" si="33"/>
        <v>-145043.90816666666</v>
      </c>
      <c r="H54" s="25">
        <f t="shared" si="33"/>
        <v>-142531.07416666666</v>
      </c>
      <c r="I54" s="25">
        <f t="shared" si="33"/>
        <v>-145043.90816666666</v>
      </c>
      <c r="J54" s="25">
        <f t="shared" si="33"/>
        <v>-145043.90816666666</v>
      </c>
      <c r="K54" s="25">
        <f t="shared" si="33"/>
        <v>-142531.07416666666</v>
      </c>
      <c r="L54" s="25">
        <f t="shared" si="33"/>
        <v>-145043.90816666666</v>
      </c>
      <c r="M54" s="25">
        <f t="shared" si="33"/>
        <v>-140018.24016666668</v>
      </c>
      <c r="N54" s="25">
        <f t="shared" si="33"/>
        <v>-145043.90816666666</v>
      </c>
      <c r="O54" s="25">
        <f t="shared" si="33"/>
        <v>-114889.90016666667</v>
      </c>
      <c r="P54" s="25">
        <f t="shared" si="33"/>
        <v>-134992.57216666668</v>
      </c>
      <c r="Q54" s="25">
        <f t="shared" si="33"/>
        <v>-145043.90816666666</v>
      </c>
      <c r="R54" s="25">
        <f t="shared" si="33"/>
        <v>-140018.24016666668</v>
      </c>
      <c r="S54" s="25">
        <f t="shared" si="33"/>
        <v>-145043.90816666666</v>
      </c>
      <c r="T54" s="25">
        <f t="shared" si="33"/>
        <v>-142531.07416666666</v>
      </c>
      <c r="U54" s="25">
        <f t="shared" si="33"/>
        <v>-145043.90816666666</v>
      </c>
      <c r="V54" s="25">
        <f t="shared" si="33"/>
        <v>-145043.90816666666</v>
      </c>
      <c r="W54" s="25">
        <f t="shared" si="33"/>
        <v>-142531.07416666666</v>
      </c>
      <c r="X54" s="25">
        <f t="shared" si="33"/>
        <v>-145043.90816666666</v>
      </c>
      <c r="Y54" s="25">
        <f t="shared" si="33"/>
        <v>-140018.24016666668</v>
      </c>
      <c r="Z54" s="25">
        <f t="shared" si="33"/>
        <v>-145043.90816666666</v>
      </c>
      <c r="AA54" s="25">
        <f t="shared" si="33"/>
        <v>-112377.06616666667</v>
      </c>
      <c r="AB54" s="25">
        <f t="shared" si="33"/>
        <v>-137505.40616666668</v>
      </c>
      <c r="AC54" s="25">
        <f t="shared" si="33"/>
        <v>-145043.90816666666</v>
      </c>
      <c r="AD54" s="25">
        <f t="shared" si="33"/>
        <v>-142531.07416666666</v>
      </c>
      <c r="AE54" s="25">
        <f t="shared" si="33"/>
        <v>-145043.90816666666</v>
      </c>
      <c r="AF54" s="25">
        <f t="shared" si="33"/>
        <v>-145043.90816666666</v>
      </c>
      <c r="AG54" s="25">
        <f t="shared" si="33"/>
        <v>-142531.07416666666</v>
      </c>
      <c r="AH54" s="25">
        <f t="shared" si="33"/>
        <v>-145043.90816666666</v>
      </c>
      <c r="AI54" s="25">
        <f t="shared" ref="AI54:AY54" si="34">-(AI36+AI31+AI29+AI27+AI25+AI23)</f>
        <v>-140018.24016666668</v>
      </c>
      <c r="AJ54" s="25">
        <f t="shared" si="34"/>
        <v>-145043.90816666666</v>
      </c>
      <c r="AK54" s="25">
        <f t="shared" si="34"/>
        <v>-114889.90016666667</v>
      </c>
      <c r="AL54" s="25">
        <f t="shared" si="34"/>
        <v>-134992.57216666668</v>
      </c>
      <c r="AM54" s="25">
        <f t="shared" si="34"/>
        <v>-145043.90816666666</v>
      </c>
      <c r="AN54" s="25">
        <f t="shared" si="34"/>
        <v>-140018.24016666668</v>
      </c>
      <c r="AO54" s="25">
        <f t="shared" si="34"/>
        <v>-145043.90816666666</v>
      </c>
      <c r="AP54" s="25">
        <f t="shared" si="34"/>
        <v>-142531.07416666666</v>
      </c>
      <c r="AQ54" s="25">
        <f t="shared" si="34"/>
        <v>-145043.90816666666</v>
      </c>
      <c r="AR54" s="25">
        <f t="shared" si="34"/>
        <v>-145043.90816666666</v>
      </c>
      <c r="AS54" s="25">
        <f t="shared" si="34"/>
        <v>-142531.07416666666</v>
      </c>
      <c r="AT54" s="25">
        <f t="shared" si="34"/>
        <v>-145043.90816666666</v>
      </c>
      <c r="AU54" s="25">
        <f t="shared" si="34"/>
        <v>-140018.24016666668</v>
      </c>
      <c r="AV54" s="25">
        <f t="shared" si="34"/>
        <v>-145043.90816666666</v>
      </c>
      <c r="AW54" s="25">
        <f t="shared" si="34"/>
        <v>-114889.90016666667</v>
      </c>
      <c r="AX54" s="25">
        <f t="shared" si="34"/>
        <v>-134992.57216666668</v>
      </c>
      <c r="AY54" s="25">
        <f t="shared" si="34"/>
        <v>-145043.90816666666</v>
      </c>
    </row>
    <row r="55" spans="1:53" ht="12.75" hidden="1" customHeight="1" x14ac:dyDescent="0.25">
      <c r="B55" s="1" t="s">
        <v>187</v>
      </c>
      <c r="C55" s="25">
        <f t="shared" ref="C55:AH55" si="35">C53+C54</f>
        <v>-52500</v>
      </c>
      <c r="D55" s="25">
        <f t="shared" si="35"/>
        <v>0</v>
      </c>
      <c r="E55" s="25">
        <f t="shared" si="35"/>
        <v>-82373.659794871812</v>
      </c>
      <c r="F55" s="25">
        <f t="shared" si="35"/>
        <v>104874.71758333329</v>
      </c>
      <c r="G55" s="25">
        <f t="shared" si="35"/>
        <v>116738.21908333333</v>
      </c>
      <c r="H55" s="25">
        <f t="shared" si="35"/>
        <v>128280.59458333335</v>
      </c>
      <c r="I55" s="25">
        <f t="shared" si="35"/>
        <v>150294.04120833331</v>
      </c>
      <c r="J55" s="25">
        <f t="shared" si="35"/>
        <v>150294.04120833331</v>
      </c>
      <c r="K55" s="25">
        <f t="shared" si="35"/>
        <v>110806.46833333332</v>
      </c>
      <c r="L55" s="25">
        <f t="shared" si="35"/>
        <v>116738.21908333333</v>
      </c>
      <c r="M55" s="25">
        <f t="shared" si="35"/>
        <v>104874.71758333329</v>
      </c>
      <c r="N55" s="25">
        <f t="shared" si="35"/>
        <v>122410.9354333333</v>
      </c>
      <c r="O55" s="25">
        <f t="shared" si="35"/>
        <v>45557.210083333295</v>
      </c>
      <c r="P55" s="25">
        <f t="shared" si="35"/>
        <v>93011.216083333304</v>
      </c>
      <c r="Q55" s="25">
        <f t="shared" si="35"/>
        <v>116738.21908333333</v>
      </c>
      <c r="R55" s="25">
        <f t="shared" si="35"/>
        <v>119773.19208333333</v>
      </c>
      <c r="S55" s="25">
        <f t="shared" si="35"/>
        <v>132664.17458333334</v>
      </c>
      <c r="T55" s="25">
        <f t="shared" si="35"/>
        <v>145567.71583333332</v>
      </c>
      <c r="U55" s="25">
        <f t="shared" si="35"/>
        <v>171257.24483333333</v>
      </c>
      <c r="V55" s="25">
        <f t="shared" si="35"/>
        <v>171257.24483333333</v>
      </c>
      <c r="W55" s="25">
        <f t="shared" si="35"/>
        <v>126218.68333333329</v>
      </c>
      <c r="X55" s="25">
        <f t="shared" si="35"/>
        <v>132664.17458333334</v>
      </c>
      <c r="Y55" s="25">
        <f t="shared" si="35"/>
        <v>119773.19208333333</v>
      </c>
      <c r="Z55" s="25">
        <f t="shared" si="35"/>
        <v>137778.91883333333</v>
      </c>
      <c r="AA55" s="25">
        <f t="shared" si="35"/>
        <v>48872.788333333316</v>
      </c>
      <c r="AB55" s="25">
        <f t="shared" si="35"/>
        <v>113327.70083333328</v>
      </c>
      <c r="AC55" s="25">
        <f t="shared" si="35"/>
        <v>132664.17458333334</v>
      </c>
      <c r="AD55" s="25">
        <f t="shared" si="35"/>
        <v>161392.0033333333</v>
      </c>
      <c r="AE55" s="25">
        <f t="shared" si="35"/>
        <v>187609.00858333331</v>
      </c>
      <c r="AF55" s="25">
        <f t="shared" si="35"/>
        <v>187609.00858333331</v>
      </c>
      <c r="AG55" s="25">
        <f t="shared" si="35"/>
        <v>140918.02708333329</v>
      </c>
      <c r="AH55" s="25">
        <f t="shared" si="35"/>
        <v>147853.49645833336</v>
      </c>
      <c r="AI55" s="25">
        <f t="shared" ref="AI55:AY55" si="36">AI53+AI54</f>
        <v>133982.5577083333</v>
      </c>
      <c r="AJ55" s="25">
        <f t="shared" si="36"/>
        <v>153355.72133333332</v>
      </c>
      <c r="AK55" s="25">
        <f t="shared" si="36"/>
        <v>64627.863958333313</v>
      </c>
      <c r="AL55" s="25">
        <f t="shared" si="36"/>
        <v>120111.6189583333</v>
      </c>
      <c r="AM55" s="25">
        <f t="shared" si="36"/>
        <v>147853.49645833336</v>
      </c>
      <c r="AN55" s="25">
        <f t="shared" si="36"/>
        <v>154173.29295833327</v>
      </c>
      <c r="AO55" s="25">
        <f t="shared" si="36"/>
        <v>163934.47133333332</v>
      </c>
      <c r="AP55" s="25">
        <f t="shared" si="36"/>
        <v>171629.5033333333</v>
      </c>
      <c r="AQ55" s="25">
        <f t="shared" si="36"/>
        <v>198187.75858333331</v>
      </c>
      <c r="AR55" s="25">
        <f t="shared" si="36"/>
        <v>198187.75858333331</v>
      </c>
      <c r="AS55" s="25">
        <f t="shared" si="36"/>
        <v>152280.47083333327</v>
      </c>
      <c r="AT55" s="25">
        <f t="shared" si="36"/>
        <v>159594.68833333332</v>
      </c>
      <c r="AU55" s="25">
        <f t="shared" si="36"/>
        <v>143878.8077083333</v>
      </c>
      <c r="AV55" s="25">
        <f t="shared" si="36"/>
        <v>163934.47133333332</v>
      </c>
      <c r="AW55" s="25">
        <f t="shared" si="36"/>
        <v>71111.613958333313</v>
      </c>
      <c r="AX55" s="25">
        <f t="shared" si="36"/>
        <v>129325.36895833333</v>
      </c>
      <c r="AY55" s="25">
        <f t="shared" si="36"/>
        <v>158432.24645833336</v>
      </c>
    </row>
    <row r="56" spans="1:53" ht="12.75" hidden="1" customHeight="1" x14ac:dyDescent="0.25"/>
    <row r="57" spans="1:53" ht="12.75" hidden="1" customHeight="1" x14ac:dyDescent="0.25"/>
    <row r="58" spans="1:53" ht="12.75" hidden="1" customHeight="1" x14ac:dyDescent="0.3">
      <c r="B58" s="36" t="s">
        <v>178</v>
      </c>
    </row>
    <row r="59" spans="1:53" ht="12.75" hidden="1" customHeight="1" x14ac:dyDescent="0.25"/>
    <row r="60" spans="1:53" ht="12.75" hidden="1" customHeight="1" x14ac:dyDescent="0.3">
      <c r="B60" s="2" t="s">
        <v>188</v>
      </c>
      <c r="C60" s="8" t="s">
        <v>193</v>
      </c>
      <c r="D60" s="8" t="s">
        <v>194</v>
      </c>
      <c r="E60" s="8" t="s">
        <v>195</v>
      </c>
      <c r="F60" s="8" t="s">
        <v>189</v>
      </c>
      <c r="G60" s="8" t="s">
        <v>70</v>
      </c>
      <c r="H60" s="8" t="s">
        <v>72</v>
      </c>
      <c r="I60" s="8" t="s">
        <v>60</v>
      </c>
      <c r="J60" s="8" t="s">
        <v>190</v>
      </c>
      <c r="L60" s="8" t="s">
        <v>191</v>
      </c>
    </row>
    <row r="61" spans="1:53" ht="12.75" hidden="1" customHeight="1" x14ac:dyDescent="0.3">
      <c r="B61" s="69">
        <v>2006</v>
      </c>
      <c r="C61" s="25">
        <v>0</v>
      </c>
      <c r="D61" s="25">
        <f>-'P_L Summary'!C78</f>
        <v>-182615.72938461541</v>
      </c>
      <c r="J61" s="25">
        <f>C61+D61-SUM(E61:I61)</f>
        <v>-182615.72938461541</v>
      </c>
      <c r="L61" s="25">
        <f>SUM(E61:I61)</f>
        <v>0</v>
      </c>
    </row>
    <row r="62" spans="1:53" ht="12.75" hidden="1" customHeight="1" x14ac:dyDescent="0.3">
      <c r="B62" s="69">
        <v>2007</v>
      </c>
      <c r="C62" s="25">
        <f>J61</f>
        <v>-182615.72938461541</v>
      </c>
      <c r="D62" s="25">
        <f>-'P_L Summary'!D78</f>
        <v>143835.35265595725</v>
      </c>
      <c r="G62" s="25">
        <f>$D$62/4</f>
        <v>35958.838163989312</v>
      </c>
      <c r="H62" s="25">
        <f>D61</f>
        <v>-182615.72938461541</v>
      </c>
      <c r="I62" s="25">
        <f>$D$62/4</f>
        <v>35958.838163989312</v>
      </c>
      <c r="J62" s="25">
        <f>C62+D62-SUM(E62:I62)</f>
        <v>71917.676327978639</v>
      </c>
      <c r="L62" s="25">
        <f>SUM(E62:I62)</f>
        <v>-110698.0530566368</v>
      </c>
    </row>
    <row r="63" spans="1:53" ht="12.75" hidden="1" customHeight="1" x14ac:dyDescent="0.3">
      <c r="B63" s="69">
        <v>2008</v>
      </c>
      <c r="C63" s="25">
        <f>J62</f>
        <v>71917.676327978639</v>
      </c>
      <c r="D63" s="25">
        <f>-'P_L Summary'!E78</f>
        <v>502082.40106692235</v>
      </c>
      <c r="E63" s="25">
        <f>$D$62/4</f>
        <v>35958.838163989312</v>
      </c>
      <c r="F63" s="25">
        <f>$D$62/4</f>
        <v>35958.838163989312</v>
      </c>
      <c r="G63" s="25">
        <f>$D$63/4</f>
        <v>125520.60026673059</v>
      </c>
      <c r="H63" s="70">
        <v>0</v>
      </c>
      <c r="I63" s="25">
        <f>$D$63/4</f>
        <v>125520.60026673059</v>
      </c>
      <c r="J63" s="25">
        <f>C63+D63-SUM(E63:I63)</f>
        <v>251041.20053346117</v>
      </c>
      <c r="L63" s="25">
        <f>SUM(E63:I63)</f>
        <v>322958.87686143978</v>
      </c>
    </row>
    <row r="64" spans="1:53" ht="12.75" hidden="1" customHeight="1" x14ac:dyDescent="0.3">
      <c r="B64" s="69">
        <v>2009</v>
      </c>
      <c r="C64" s="25">
        <f>J63</f>
        <v>251041.20053346117</v>
      </c>
      <c r="D64" s="25">
        <f>-'P_L Summary'!F78</f>
        <v>837051.47488203156</v>
      </c>
      <c r="E64" s="25">
        <f>$D$63/4</f>
        <v>125520.60026673059</v>
      </c>
      <c r="F64" s="25">
        <f>$D$63/4</f>
        <v>125520.60026673059</v>
      </c>
      <c r="G64" s="25">
        <f>$D$64/4</f>
        <v>209262.86872050789</v>
      </c>
      <c r="H64" s="70">
        <v>0</v>
      </c>
      <c r="I64" s="25">
        <f>$D$64/4</f>
        <v>209262.86872050789</v>
      </c>
      <c r="J64" s="25">
        <f>C64+D64-SUM(E64:I64)</f>
        <v>418525.73744101566</v>
      </c>
      <c r="L64" s="25">
        <f>SUM(E64:I64)</f>
        <v>669566.93797447695</v>
      </c>
    </row>
    <row r="65" spans="2:12" ht="12.75" hidden="1" customHeight="1" x14ac:dyDescent="0.3">
      <c r="B65" s="69">
        <v>2010</v>
      </c>
      <c r="C65" s="25">
        <f>J64</f>
        <v>418525.73744101566</v>
      </c>
      <c r="D65" s="25">
        <f>-'P_L Summary'!G78</f>
        <v>1054680.2727890902</v>
      </c>
      <c r="E65" s="25">
        <f>$D$64/4</f>
        <v>209262.86872050789</v>
      </c>
      <c r="F65" s="25">
        <f>$D$64/4</f>
        <v>209262.86872050789</v>
      </c>
      <c r="G65" s="25">
        <f>$D$65/4</f>
        <v>263670.06819727254</v>
      </c>
      <c r="H65" s="70">
        <v>0</v>
      </c>
      <c r="I65" s="25">
        <f>$D$65/4</f>
        <v>263670.06819727254</v>
      </c>
      <c r="J65" s="25">
        <f>C65+D65-SUM(E65:I65)</f>
        <v>527340.13639454497</v>
      </c>
      <c r="L65" s="25">
        <f>SUM(E65:I65)</f>
        <v>945865.87383556087</v>
      </c>
    </row>
    <row r="66" spans="2:12" ht="12.75" hidden="1" customHeight="1" x14ac:dyDescent="0.25"/>
    <row r="67" spans="2:12" ht="12.75" hidden="1" customHeight="1" x14ac:dyDescent="0.25">
      <c r="B67" s="1" t="s">
        <v>192</v>
      </c>
    </row>
    <row r="68" spans="2:12" ht="12.75" hidden="1" customHeight="1" x14ac:dyDescent="0.25"/>
    <row r="69" spans="2:12" ht="12.75" hidden="1" customHeight="1" x14ac:dyDescent="0.25"/>
    <row r="70" spans="2:12" ht="12.75" hidden="1" customHeight="1" x14ac:dyDescent="0.25"/>
    <row r="71" spans="2:12" ht="12.75" customHeight="1" x14ac:dyDescent="0.25"/>
    <row r="72" spans="2:12" ht="12.75" customHeight="1" x14ac:dyDescent="0.25"/>
    <row r="73" spans="2:12" ht="12.75" customHeight="1" x14ac:dyDescent="0.25"/>
    <row r="74" spans="2:12" ht="12.75" customHeight="1" x14ac:dyDescent="0.25"/>
    <row r="75" spans="2:12" ht="12.75" customHeight="1" x14ac:dyDescent="0.25"/>
    <row r="76" spans="2:12" ht="12.75" customHeight="1" x14ac:dyDescent="0.25"/>
    <row r="77" spans="2:12" ht="12.75" customHeight="1" x14ac:dyDescent="0.25"/>
    <row r="78" spans="2:12" ht="12.75" customHeight="1" x14ac:dyDescent="0.25"/>
    <row r="79" spans="2:12" ht="12.75" customHeight="1" x14ac:dyDescent="0.25"/>
    <row r="80" spans="2:12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scale="63" firstPageNumber="0" orientation="landscape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32"/>
  <sheetViews>
    <sheetView zoomScaleSheetLayoutView="75" workbookViewId="0">
      <pane xSplit="29" ySplit="6" topLeftCell="AL7" activePane="bottomRight" state="frozen"/>
      <selection pane="topRight" activeCell="AL1" sqref="AL1"/>
      <selection pane="bottomLeft" activeCell="A28" sqref="A28"/>
      <selection pane="bottomRight"/>
    </sheetView>
  </sheetViews>
  <sheetFormatPr defaultColWidth="9.08984375" defaultRowHeight="12.5" x14ac:dyDescent="0.25"/>
  <cols>
    <col min="1" max="1" width="2.453125" style="1" customWidth="1"/>
    <col min="2" max="2" width="27.81640625" style="1" customWidth="1"/>
    <col min="3" max="29" width="0" style="25" hidden="1" customWidth="1"/>
    <col min="30" max="30" width="15" style="25" customWidth="1"/>
    <col min="31" max="31" width="15.54296875" style="25" customWidth="1"/>
    <col min="32" max="32" width="15" style="25" customWidth="1"/>
    <col min="33" max="33" width="14.81640625" style="25" customWidth="1"/>
    <col min="34" max="34" width="14" style="25" customWidth="1"/>
    <col min="35" max="35" width="13.81640625" style="25" customWidth="1"/>
    <col min="36" max="36" width="15.453125" style="25" customWidth="1"/>
    <col min="37" max="37" width="15.7265625" style="25" customWidth="1"/>
    <col min="38" max="38" width="13.54296875" style="25" customWidth="1"/>
    <col min="39" max="40" width="15.7265625" style="25" customWidth="1"/>
    <col min="41" max="41" width="16.08984375" style="25" customWidth="1"/>
    <col min="42" max="53" width="0" style="25" hidden="1" customWidth="1"/>
    <col min="54" max="54" width="3.7265625" style="1" customWidth="1"/>
    <col min="55" max="55" width="16" style="1" customWidth="1"/>
    <col min="56" max="16384" width="9.08984375" style="1"/>
  </cols>
  <sheetData>
    <row r="1" spans="1:55" ht="15.5" x14ac:dyDescent="0.35">
      <c r="A1" s="26" t="s">
        <v>240</v>
      </c>
      <c r="B1" s="27"/>
    </row>
    <row r="2" spans="1:55" ht="15.5" x14ac:dyDescent="0.35">
      <c r="A2" s="26" t="s">
        <v>153</v>
      </c>
      <c r="B2" s="27"/>
    </row>
    <row r="3" spans="1:55" ht="15.5" x14ac:dyDescent="0.35">
      <c r="A3" s="26" t="s">
        <v>78</v>
      </c>
      <c r="B3" s="27"/>
      <c r="E3" s="60"/>
    </row>
    <row r="5" spans="1:55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  <c r="BC5" s="8" t="s">
        <v>3</v>
      </c>
    </row>
    <row r="6" spans="1:55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  <c r="BC6" s="7">
        <v>2009</v>
      </c>
    </row>
    <row r="7" spans="1:55" ht="15.5" x14ac:dyDescent="0.35">
      <c r="A7" s="26" t="s">
        <v>155</v>
      </c>
    </row>
    <row r="8" spans="1:55" x14ac:dyDescent="0.25">
      <c r="B8" s="34" t="s">
        <v>156</v>
      </c>
      <c r="C8" s="25">
        <f>1500000</f>
        <v>1500000</v>
      </c>
    </row>
    <row r="9" spans="1:55" ht="13" x14ac:dyDescent="0.3">
      <c r="B9" s="34" t="s">
        <v>157</v>
      </c>
      <c r="C9" s="25">
        <f>P_L!C8</f>
        <v>0</v>
      </c>
      <c r="D9" s="25">
        <f>P_L!D8</f>
        <v>0</v>
      </c>
      <c r="E9" s="25">
        <f>P_L!E8</f>
        <v>329000</v>
      </c>
      <c r="F9" s="25">
        <f>P_L!F8</f>
        <v>1390274.5</v>
      </c>
      <c r="G9" s="25">
        <f>P_L!G8</f>
        <v>1486155.5</v>
      </c>
      <c r="H9" s="25">
        <f>P_L!H8</f>
        <v>1523925</v>
      </c>
      <c r="I9" s="25">
        <f>P_L!I8</f>
        <v>1663289.5</v>
      </c>
      <c r="J9" s="25">
        <f>P_L!J8</f>
        <v>1663289.5</v>
      </c>
      <c r="K9" s="25">
        <f>P_L!K8</f>
        <v>1438215</v>
      </c>
      <c r="L9" s="25">
        <f>P_L!L8</f>
        <v>1486155.5</v>
      </c>
      <c r="M9" s="25">
        <f>P_L!M8</f>
        <v>1390274.5</v>
      </c>
      <c r="N9" s="25">
        <f>P_L!N8</f>
        <v>1512725.5999999999</v>
      </c>
      <c r="O9" s="25">
        <f>P_L!O8</f>
        <v>910869.5</v>
      </c>
      <c r="P9" s="25">
        <f>P_L!P8</f>
        <v>1294393.5</v>
      </c>
      <c r="Q9" s="25">
        <f>P_L!Q8</f>
        <v>1486155.5</v>
      </c>
      <c r="R9" s="25">
        <f>P_L!R8</f>
        <v>1470851.7250000001</v>
      </c>
      <c r="S9" s="25">
        <f>P_L!S8</f>
        <v>1572289.7750000001</v>
      </c>
      <c r="T9" s="25">
        <f>P_L!T8</f>
        <v>1617994.5</v>
      </c>
      <c r="U9" s="25">
        <f>P_L!U8</f>
        <v>1778208.05</v>
      </c>
      <c r="V9" s="25">
        <f>P_L!V8</f>
        <v>1778208.05</v>
      </c>
      <c r="W9" s="25">
        <f>P_L!W8</f>
        <v>1521570.75</v>
      </c>
      <c r="X9" s="25">
        <f>P_L!X8</f>
        <v>1572289.7750000001</v>
      </c>
      <c r="Y9" s="25">
        <f>P_L!Y8</f>
        <v>1470851.7250000001</v>
      </c>
      <c r="Z9" s="25">
        <f>P_L!Z8</f>
        <v>1596645.7</v>
      </c>
      <c r="AA9" s="25">
        <f>P_L!AA8</f>
        <v>912942.45000000007</v>
      </c>
      <c r="AB9" s="25">
        <f>P_L!AB8</f>
        <v>1420132.7</v>
      </c>
      <c r="AC9" s="25">
        <f>P_L!AC8</f>
        <v>1572289.7750000001</v>
      </c>
      <c r="AD9" s="25">
        <f>'Cashflow Workings'!AD9</f>
        <v>1576904</v>
      </c>
      <c r="AE9" s="25">
        <f>'Cashflow Workings'!AE9</f>
        <v>1685656</v>
      </c>
      <c r="AF9" s="25">
        <f>'Cashflow Workings'!AF9</f>
        <v>1708419</v>
      </c>
      <c r="AG9" s="25">
        <f>'Cashflow Workings'!AG9</f>
        <v>1871646.7</v>
      </c>
      <c r="AH9" s="25">
        <f>'Cashflow Workings'!AH9</f>
        <v>1871646.7</v>
      </c>
      <c r="AI9" s="25">
        <f>'Cashflow Workings'!AI9</f>
        <v>1605567</v>
      </c>
      <c r="AJ9" s="25">
        <f>'Cashflow Workings'!AJ9</f>
        <v>1659085.9000000001</v>
      </c>
      <c r="AK9" s="25">
        <f>'Cashflow Workings'!AK9</f>
        <v>1552048.1</v>
      </c>
      <c r="AL9" s="25">
        <f>'Cashflow Workings'!AL9</f>
        <v>1685656</v>
      </c>
      <c r="AM9" s="25">
        <f>'Cashflow Workings'!AM9</f>
        <v>1016859.1</v>
      </c>
      <c r="AN9" s="25">
        <f>'Cashflow Workings'!AN9</f>
        <v>1445010.3</v>
      </c>
      <c r="AO9" s="25">
        <f>'Cashflow Workings'!AO9</f>
        <v>1659085.9000000001</v>
      </c>
      <c r="AP9" s="25">
        <f>P_L!AP8</f>
        <v>1658309.9</v>
      </c>
      <c r="AQ9" s="25">
        <f>P_L!AQ8</f>
        <v>1746106</v>
      </c>
      <c r="AR9" s="25">
        <f>P_L!AR8</f>
        <v>1766919</v>
      </c>
      <c r="AS9" s="25">
        <f>P_L!AS8</f>
        <v>1932096.7</v>
      </c>
      <c r="AT9" s="25">
        <f>P_L!AT8</f>
        <v>1932096.7</v>
      </c>
      <c r="AU9" s="25">
        <f>P_L!AU8</f>
        <v>1670495.25</v>
      </c>
      <c r="AV9" s="25">
        <f>P_L!AV8</f>
        <v>1726178.425</v>
      </c>
      <c r="AW9" s="25">
        <f>P_L!AW8</f>
        <v>1608598.1</v>
      </c>
      <c r="AX9" s="25">
        <f>P_L!AX8</f>
        <v>1746106</v>
      </c>
      <c r="AY9" s="25">
        <f>P_L!AY8</f>
        <v>1053909.1000000001</v>
      </c>
      <c r="AZ9" s="25">
        <f>P_L!AZ8</f>
        <v>1497660.3</v>
      </c>
      <c r="BA9" s="25">
        <f>P_L!BA8</f>
        <v>1719535.9000000001</v>
      </c>
      <c r="BC9" s="2">
        <f t="shared" ref="BC9:BC15" si="0">SUM(AD9:AO9)</f>
        <v>19337584.699999999</v>
      </c>
    </row>
    <row r="10" spans="1:55" ht="13" x14ac:dyDescent="0.3">
      <c r="B10" s="34" t="s">
        <v>158</v>
      </c>
      <c r="C10" s="25">
        <f t="shared" ref="C10:AC10" si="1">C9*0.175</f>
        <v>0</v>
      </c>
      <c r="D10" s="25">
        <f t="shared" si="1"/>
        <v>0</v>
      </c>
      <c r="E10" s="25">
        <f t="shared" si="1"/>
        <v>57574.999999999993</v>
      </c>
      <c r="F10" s="25">
        <f t="shared" si="1"/>
        <v>243298.03749999998</v>
      </c>
      <c r="G10" s="25">
        <f t="shared" si="1"/>
        <v>260077.21249999999</v>
      </c>
      <c r="H10" s="25">
        <f t="shared" si="1"/>
        <v>266686.875</v>
      </c>
      <c r="I10" s="25">
        <f t="shared" si="1"/>
        <v>291075.66249999998</v>
      </c>
      <c r="J10" s="25">
        <f t="shared" si="1"/>
        <v>291075.66249999998</v>
      </c>
      <c r="K10" s="25">
        <f t="shared" si="1"/>
        <v>251687.62499999997</v>
      </c>
      <c r="L10" s="25">
        <f t="shared" si="1"/>
        <v>260077.21249999999</v>
      </c>
      <c r="M10" s="25">
        <f t="shared" si="1"/>
        <v>243298.03749999998</v>
      </c>
      <c r="N10" s="25">
        <f t="shared" si="1"/>
        <v>264726.98</v>
      </c>
      <c r="O10" s="25">
        <f t="shared" si="1"/>
        <v>159402.16249999998</v>
      </c>
      <c r="P10" s="25">
        <f t="shared" si="1"/>
        <v>226518.86249999999</v>
      </c>
      <c r="Q10" s="25">
        <f t="shared" si="1"/>
        <v>260077.21249999999</v>
      </c>
      <c r="R10" s="25">
        <f t="shared" si="1"/>
        <v>257399.051875</v>
      </c>
      <c r="S10" s="25">
        <f t="shared" si="1"/>
        <v>275150.71062500001</v>
      </c>
      <c r="T10" s="25">
        <f t="shared" si="1"/>
        <v>283149.03749999998</v>
      </c>
      <c r="U10" s="25">
        <f t="shared" si="1"/>
        <v>311186.40875</v>
      </c>
      <c r="V10" s="25">
        <f t="shared" si="1"/>
        <v>311186.40875</v>
      </c>
      <c r="W10" s="25">
        <f t="shared" si="1"/>
        <v>266274.88124999998</v>
      </c>
      <c r="X10" s="25">
        <f t="shared" si="1"/>
        <v>275150.71062500001</v>
      </c>
      <c r="Y10" s="25">
        <f t="shared" si="1"/>
        <v>257399.051875</v>
      </c>
      <c r="Z10" s="25">
        <f t="shared" si="1"/>
        <v>279412.9975</v>
      </c>
      <c r="AA10" s="25">
        <f t="shared" si="1"/>
        <v>159764.92874999999</v>
      </c>
      <c r="AB10" s="25">
        <f t="shared" si="1"/>
        <v>248523.22249999997</v>
      </c>
      <c r="AC10" s="25">
        <f t="shared" si="1"/>
        <v>275150.71062500001</v>
      </c>
      <c r="AD10" s="25">
        <f>'Cashflow Workings'!AD10</f>
        <v>275958.19999999995</v>
      </c>
      <c r="AE10" s="25">
        <f>'Cashflow Workings'!AE10</f>
        <v>294989.8</v>
      </c>
      <c r="AF10" s="25">
        <f>'Cashflow Workings'!AF10</f>
        <v>298973.32499999995</v>
      </c>
      <c r="AG10" s="25">
        <f>'Cashflow Workings'!AG10</f>
        <v>327538.17249999999</v>
      </c>
      <c r="AH10" s="25">
        <f>'Cashflow Workings'!AH10</f>
        <v>327538.17249999999</v>
      </c>
      <c r="AI10" s="25">
        <f>'Cashflow Workings'!AI10</f>
        <v>280974.22499999998</v>
      </c>
      <c r="AJ10" s="25">
        <f>'Cashflow Workings'!AJ10</f>
        <v>290340.03250000003</v>
      </c>
      <c r="AK10" s="25">
        <f>'Cashflow Workings'!AK10</f>
        <v>271608.41749999998</v>
      </c>
      <c r="AL10" s="25">
        <f>'Cashflow Workings'!AL10</f>
        <v>294989.8</v>
      </c>
      <c r="AM10" s="25">
        <f>'Cashflow Workings'!AM10</f>
        <v>177950.3425</v>
      </c>
      <c r="AN10" s="25">
        <f>'Cashflow Workings'!AN10</f>
        <v>252876.80249999999</v>
      </c>
      <c r="AO10" s="25">
        <f>'Cashflow Workings'!AO10</f>
        <v>290340.03250000003</v>
      </c>
      <c r="AP10" s="25">
        <f t="shared" ref="AP10:BA10" si="2">AP9*0.175</f>
        <v>290204.23249999998</v>
      </c>
      <c r="AQ10" s="25">
        <f t="shared" si="2"/>
        <v>305568.55</v>
      </c>
      <c r="AR10" s="25">
        <f t="shared" si="2"/>
        <v>309210.82499999995</v>
      </c>
      <c r="AS10" s="25">
        <f t="shared" si="2"/>
        <v>338116.92249999999</v>
      </c>
      <c r="AT10" s="25">
        <f t="shared" si="2"/>
        <v>338116.92249999999</v>
      </c>
      <c r="AU10" s="25">
        <f t="shared" si="2"/>
        <v>292336.66874999995</v>
      </c>
      <c r="AV10" s="25">
        <f t="shared" si="2"/>
        <v>302081.22437499999</v>
      </c>
      <c r="AW10" s="25">
        <f t="shared" si="2"/>
        <v>281504.66749999998</v>
      </c>
      <c r="AX10" s="25">
        <f t="shared" si="2"/>
        <v>305568.55</v>
      </c>
      <c r="AY10" s="25">
        <f t="shared" si="2"/>
        <v>184434.0925</v>
      </c>
      <c r="AZ10" s="25">
        <f t="shared" si="2"/>
        <v>262090.55249999999</v>
      </c>
      <c r="BA10" s="25">
        <f t="shared" si="2"/>
        <v>300918.78250000003</v>
      </c>
      <c r="BC10" s="2">
        <f t="shared" si="0"/>
        <v>3384077.3224999993</v>
      </c>
    </row>
    <row r="11" spans="1:55" ht="13" x14ac:dyDescent="0.3">
      <c r="B11" s="34" t="s">
        <v>159</v>
      </c>
      <c r="C11" s="25">
        <f>'P_L Workings'!C69</f>
        <v>0</v>
      </c>
      <c r="D11" s="25">
        <f>'P_L Workings'!D69</f>
        <v>0</v>
      </c>
      <c r="E11" s="25">
        <f>'P_L Workings'!E69</f>
        <v>2310</v>
      </c>
      <c r="F11" s="25">
        <f>'P_L Workings'!F69</f>
        <v>9113.83</v>
      </c>
      <c r="G11" s="25">
        <f>'P_L Workings'!G69</f>
        <v>9742.369999999999</v>
      </c>
      <c r="H11" s="25">
        <f>'P_L Workings'!H69</f>
        <v>23570.250000000007</v>
      </c>
      <c r="I11" s="25">
        <f>'P_L Workings'!I69</f>
        <v>24355.925000000007</v>
      </c>
      <c r="J11" s="25">
        <f>'P_L Workings'!J69</f>
        <v>24355.925000000007</v>
      </c>
      <c r="K11" s="25">
        <f>'P_L Workings'!K69</f>
        <v>9428.0999999999985</v>
      </c>
      <c r="L11" s="25">
        <f>'P_L Workings'!L69</f>
        <v>9742.369999999999</v>
      </c>
      <c r="M11" s="25">
        <f>'P_L Workings'!M69</f>
        <v>9113.83</v>
      </c>
      <c r="N11" s="25">
        <f>'P_L Workings'!N69</f>
        <v>15587.791999999999</v>
      </c>
      <c r="O11" s="25">
        <f>'P_L Workings'!O69</f>
        <v>5971.1299999999992</v>
      </c>
      <c r="P11" s="25">
        <f>'P_L Workings'!P69</f>
        <v>8485.2899999999991</v>
      </c>
      <c r="Q11" s="25">
        <f>'P_L Workings'!Q69</f>
        <v>9742.369999999999</v>
      </c>
      <c r="R11" s="25">
        <f>'P_L Workings'!R69</f>
        <v>13670.744999999999</v>
      </c>
      <c r="S11" s="25">
        <f>'P_L Workings'!S69</f>
        <v>14613.554999999998</v>
      </c>
      <c r="T11" s="25">
        <f>'P_L Workings'!T69</f>
        <v>28284.3</v>
      </c>
      <c r="U11" s="25">
        <f>'P_L Workings'!U69</f>
        <v>29227.109999999997</v>
      </c>
      <c r="V11" s="25">
        <f>'P_L Workings'!V69</f>
        <v>29227.109999999997</v>
      </c>
      <c r="W11" s="25">
        <f>'P_L Workings'!W69</f>
        <v>14142.15</v>
      </c>
      <c r="X11" s="25">
        <f>'P_L Workings'!X69</f>
        <v>14613.554999999998</v>
      </c>
      <c r="Y11" s="25">
        <f>'P_L Workings'!Y69</f>
        <v>13670.744999999999</v>
      </c>
      <c r="Z11" s="25">
        <f>'P_L Workings'!Z69</f>
        <v>19484.739999999998</v>
      </c>
      <c r="AA11" s="25">
        <f>'P_L Workings'!AA69</f>
        <v>8485.2899999999991</v>
      </c>
      <c r="AB11" s="25">
        <f>'P_L Workings'!AB69</f>
        <v>13199.34</v>
      </c>
      <c r="AC11" s="25">
        <f>'P_L Workings'!AC69</f>
        <v>14613.554999999998</v>
      </c>
      <c r="AD11" s="25">
        <f>'Cashflow Workings'!AD11</f>
        <v>18227.66</v>
      </c>
      <c r="AE11" s="25">
        <f>'Cashflow Workings'!AE11</f>
        <v>19484.739999999998</v>
      </c>
      <c r="AF11" s="25">
        <f>'Cashflow Workings'!AF11</f>
        <v>28284.3</v>
      </c>
      <c r="AG11" s="25">
        <f>'Cashflow Workings'!AG11</f>
        <v>29227.109999999997</v>
      </c>
      <c r="AH11" s="25">
        <f>'Cashflow Workings'!AH11</f>
        <v>29227.109999999997</v>
      </c>
      <c r="AI11" s="25">
        <f>'Cashflow Workings'!AI11</f>
        <v>14142.15</v>
      </c>
      <c r="AJ11" s="25">
        <f>'Cashflow Workings'!AJ11</f>
        <v>14613.554999999998</v>
      </c>
      <c r="AK11" s="25">
        <f>'Cashflow Workings'!AK11</f>
        <v>13670.744999999999</v>
      </c>
      <c r="AL11" s="25">
        <f>'Cashflow Workings'!AL11</f>
        <v>19484.739999999998</v>
      </c>
      <c r="AM11" s="25">
        <f>'Cashflow Workings'!AM11</f>
        <v>8956.6949999999997</v>
      </c>
      <c r="AN11" s="25">
        <f>'Cashflow Workings'!AN11</f>
        <v>12727.934999999999</v>
      </c>
      <c r="AO11" s="25">
        <f>'Cashflow Workings'!AO11</f>
        <v>14613.554999999998</v>
      </c>
      <c r="AP11" s="25">
        <f>'P_L Workings'!AP69</f>
        <v>22784.575000000004</v>
      </c>
      <c r="AQ11" s="25">
        <f>'P_L Workings'!AQ69</f>
        <v>19484.739999999998</v>
      </c>
      <c r="AR11" s="25">
        <f>'P_L Workings'!AR69</f>
        <v>28284.3</v>
      </c>
      <c r="AS11" s="25">
        <f>'P_L Workings'!AS69</f>
        <v>29227.109999999997</v>
      </c>
      <c r="AT11" s="25">
        <f>'P_L Workings'!AT69</f>
        <v>29227.109999999997</v>
      </c>
      <c r="AU11" s="25">
        <f>'P_L Workings'!AU69</f>
        <v>14142.15</v>
      </c>
      <c r="AV11" s="25">
        <f>'P_L Workings'!AV69</f>
        <v>14613.554999999998</v>
      </c>
      <c r="AW11" s="25">
        <f>'P_L Workings'!AW69</f>
        <v>13670.744999999999</v>
      </c>
      <c r="AX11" s="25">
        <f>'P_L Workings'!AX69</f>
        <v>19484.739999999998</v>
      </c>
      <c r="AY11" s="25">
        <f>'P_L Workings'!AY69</f>
        <v>8956.6949999999997</v>
      </c>
      <c r="AZ11" s="25">
        <f>'P_L Workings'!AZ69</f>
        <v>12727.934999999999</v>
      </c>
      <c r="BA11" s="25">
        <f>'P_L Workings'!BA69</f>
        <v>14613.554999999998</v>
      </c>
      <c r="BC11" s="2">
        <f t="shared" si="0"/>
        <v>222660.29499999998</v>
      </c>
    </row>
    <row r="12" spans="1:55" ht="13" x14ac:dyDescent="0.3">
      <c r="B12" s="34" t="s">
        <v>160</v>
      </c>
      <c r="C12" s="25">
        <f t="shared" ref="C12:AC12" si="3">C11*0.175</f>
        <v>0</v>
      </c>
      <c r="D12" s="25">
        <f t="shared" si="3"/>
        <v>0</v>
      </c>
      <c r="E12" s="25">
        <f t="shared" si="3"/>
        <v>404.25</v>
      </c>
      <c r="F12" s="25">
        <f t="shared" si="3"/>
        <v>1594.9202499999999</v>
      </c>
      <c r="G12" s="25">
        <f t="shared" si="3"/>
        <v>1704.9147499999997</v>
      </c>
      <c r="H12" s="25">
        <f t="shared" si="3"/>
        <v>4124.7937500000007</v>
      </c>
      <c r="I12" s="25">
        <f t="shared" si="3"/>
        <v>4262.2868750000007</v>
      </c>
      <c r="J12" s="25">
        <f t="shared" si="3"/>
        <v>4262.2868750000007</v>
      </c>
      <c r="K12" s="25">
        <f t="shared" si="3"/>
        <v>1649.9174999999996</v>
      </c>
      <c r="L12" s="25">
        <f t="shared" si="3"/>
        <v>1704.9147499999997</v>
      </c>
      <c r="M12" s="25">
        <f t="shared" si="3"/>
        <v>1594.9202499999999</v>
      </c>
      <c r="N12" s="25">
        <f t="shared" si="3"/>
        <v>2727.8635999999997</v>
      </c>
      <c r="O12" s="25">
        <f t="shared" si="3"/>
        <v>1044.9477499999998</v>
      </c>
      <c r="P12" s="25">
        <f t="shared" si="3"/>
        <v>1484.9257499999997</v>
      </c>
      <c r="Q12" s="25">
        <f t="shared" si="3"/>
        <v>1704.9147499999997</v>
      </c>
      <c r="R12" s="25">
        <f t="shared" si="3"/>
        <v>2392.3803749999997</v>
      </c>
      <c r="S12" s="25">
        <f t="shared" si="3"/>
        <v>2557.3721249999994</v>
      </c>
      <c r="T12" s="25">
        <f t="shared" si="3"/>
        <v>4949.7524999999996</v>
      </c>
      <c r="U12" s="25">
        <f t="shared" si="3"/>
        <v>5114.7442499999988</v>
      </c>
      <c r="V12" s="25">
        <f t="shared" si="3"/>
        <v>5114.7442499999988</v>
      </c>
      <c r="W12" s="25">
        <f t="shared" si="3"/>
        <v>2474.8762499999998</v>
      </c>
      <c r="X12" s="25">
        <f t="shared" si="3"/>
        <v>2557.3721249999994</v>
      </c>
      <c r="Y12" s="25">
        <f t="shared" si="3"/>
        <v>2392.3803749999997</v>
      </c>
      <c r="Z12" s="25">
        <f t="shared" si="3"/>
        <v>3409.8294999999994</v>
      </c>
      <c r="AA12" s="25">
        <f t="shared" si="3"/>
        <v>1484.9257499999997</v>
      </c>
      <c r="AB12" s="25">
        <f t="shared" si="3"/>
        <v>2309.8844999999997</v>
      </c>
      <c r="AC12" s="25">
        <f t="shared" si="3"/>
        <v>2557.3721249999994</v>
      </c>
      <c r="AD12" s="25">
        <f>'Cashflow Workings'!AD12</f>
        <v>3189.8404999999998</v>
      </c>
      <c r="AE12" s="25">
        <f>'Cashflow Workings'!AE12</f>
        <v>3409.8294999999994</v>
      </c>
      <c r="AF12" s="25">
        <f>'Cashflow Workings'!AF12</f>
        <v>4949.7524999999996</v>
      </c>
      <c r="AG12" s="25">
        <f>'Cashflow Workings'!AG12</f>
        <v>5114.7442499999988</v>
      </c>
      <c r="AH12" s="25">
        <f>'Cashflow Workings'!AH12</f>
        <v>5114.7442499999988</v>
      </c>
      <c r="AI12" s="25">
        <f>'Cashflow Workings'!AI12</f>
        <v>2474.8762499999998</v>
      </c>
      <c r="AJ12" s="25">
        <f>'Cashflow Workings'!AJ12</f>
        <v>2557.3721249999994</v>
      </c>
      <c r="AK12" s="25">
        <f>'Cashflow Workings'!AK12</f>
        <v>2392.3803749999997</v>
      </c>
      <c r="AL12" s="25">
        <f>'Cashflow Workings'!AL12</f>
        <v>3409.8294999999994</v>
      </c>
      <c r="AM12" s="25">
        <f>'Cashflow Workings'!AM12</f>
        <v>1567.4216249999999</v>
      </c>
      <c r="AN12" s="25">
        <f>'Cashflow Workings'!AN12</f>
        <v>2227.3886249999996</v>
      </c>
      <c r="AO12" s="25">
        <f>'Cashflow Workings'!AO12</f>
        <v>2557.3721249999994</v>
      </c>
      <c r="AP12" s="25">
        <f t="shared" ref="AP12:BA12" si="4">AP11*0.175</f>
        <v>3987.3006250000003</v>
      </c>
      <c r="AQ12" s="25">
        <f t="shared" si="4"/>
        <v>3409.8294999999994</v>
      </c>
      <c r="AR12" s="25">
        <f t="shared" si="4"/>
        <v>4949.7524999999996</v>
      </c>
      <c r="AS12" s="25">
        <f t="shared" si="4"/>
        <v>5114.7442499999988</v>
      </c>
      <c r="AT12" s="25">
        <f t="shared" si="4"/>
        <v>5114.7442499999988</v>
      </c>
      <c r="AU12" s="25">
        <f t="shared" si="4"/>
        <v>2474.8762499999998</v>
      </c>
      <c r="AV12" s="25">
        <f t="shared" si="4"/>
        <v>2557.3721249999994</v>
      </c>
      <c r="AW12" s="25">
        <f t="shared" si="4"/>
        <v>2392.3803749999997</v>
      </c>
      <c r="AX12" s="25">
        <f t="shared" si="4"/>
        <v>3409.8294999999994</v>
      </c>
      <c r="AY12" s="25">
        <f t="shared" si="4"/>
        <v>1567.4216249999999</v>
      </c>
      <c r="AZ12" s="25">
        <f t="shared" si="4"/>
        <v>2227.3886249999996</v>
      </c>
      <c r="BA12" s="25">
        <f t="shared" si="4"/>
        <v>2557.3721249999994</v>
      </c>
      <c r="BC12" s="2">
        <f t="shared" si="0"/>
        <v>38965.551625</v>
      </c>
    </row>
    <row r="13" spans="1:55" ht="13" x14ac:dyDescent="0.3">
      <c r="B13" s="34" t="s">
        <v>48</v>
      </c>
      <c r="C13" s="25">
        <f>'P_L Workings'!C74</f>
        <v>0</v>
      </c>
      <c r="D13" s="25">
        <f>'P_L Workings'!D74</f>
        <v>0</v>
      </c>
      <c r="E13" s="25">
        <f>'P_L Workings'!E74</f>
        <v>2000</v>
      </c>
      <c r="F13" s="25">
        <f>'P_L Workings'!F74</f>
        <v>20300</v>
      </c>
      <c r="G13" s="25">
        <f>'P_L Workings'!G74</f>
        <v>21700</v>
      </c>
      <c r="H13" s="25">
        <f>'P_L Workings'!H74</f>
        <v>21000</v>
      </c>
      <c r="I13" s="25">
        <f>'P_L Workings'!I74</f>
        <v>21700</v>
      </c>
      <c r="J13" s="25">
        <f>'P_L Workings'!J74</f>
        <v>21700</v>
      </c>
      <c r="K13" s="25">
        <f>'P_L Workings'!K74</f>
        <v>21000</v>
      </c>
      <c r="L13" s="25">
        <f>'P_L Workings'!L74</f>
        <v>21700</v>
      </c>
      <c r="M13" s="25">
        <f>'P_L Workings'!M74</f>
        <v>20300</v>
      </c>
      <c r="N13" s="25">
        <f>'P_L Workings'!N74</f>
        <v>21700</v>
      </c>
      <c r="O13" s="25">
        <f>'P_L Workings'!O74</f>
        <v>13300</v>
      </c>
      <c r="P13" s="25">
        <f>'P_L Workings'!P74</f>
        <v>18900</v>
      </c>
      <c r="Q13" s="25">
        <f>'P_L Workings'!Q74</f>
        <v>21700</v>
      </c>
      <c r="R13" s="25">
        <f>'P_L Workings'!R74</f>
        <v>20300</v>
      </c>
      <c r="S13" s="25">
        <f>'P_L Workings'!S74</f>
        <v>21700</v>
      </c>
      <c r="T13" s="25">
        <f>'P_L Workings'!T74</f>
        <v>21000</v>
      </c>
      <c r="U13" s="25">
        <f>'P_L Workings'!U74</f>
        <v>21700</v>
      </c>
      <c r="V13" s="25">
        <f>'P_L Workings'!V74</f>
        <v>21700</v>
      </c>
      <c r="W13" s="25">
        <f>'P_L Workings'!W74</f>
        <v>21000</v>
      </c>
      <c r="X13" s="25">
        <f>'P_L Workings'!X74</f>
        <v>21700</v>
      </c>
      <c r="Y13" s="25">
        <f>'P_L Workings'!Y74</f>
        <v>20300</v>
      </c>
      <c r="Z13" s="25">
        <f>'P_L Workings'!Z74</f>
        <v>21700</v>
      </c>
      <c r="AA13" s="25">
        <f>'P_L Workings'!AA74</f>
        <v>12600</v>
      </c>
      <c r="AB13" s="25">
        <f>'P_L Workings'!AB74</f>
        <v>19600</v>
      </c>
      <c r="AC13" s="25">
        <f>'P_L Workings'!AC74</f>
        <v>21700</v>
      </c>
      <c r="AD13" s="25">
        <f>'Cashflow Workings'!AD13</f>
        <v>20300</v>
      </c>
      <c r="AE13" s="25">
        <f>'Cashflow Workings'!AE13</f>
        <v>21700</v>
      </c>
      <c r="AF13" s="25">
        <f>'Cashflow Workings'!AF13</f>
        <v>21000</v>
      </c>
      <c r="AG13" s="25">
        <f>'Cashflow Workings'!AG13</f>
        <v>21700</v>
      </c>
      <c r="AH13" s="25">
        <f>'Cashflow Workings'!AH13</f>
        <v>21700</v>
      </c>
      <c r="AI13" s="25">
        <f>'Cashflow Workings'!AI13</f>
        <v>21000</v>
      </c>
      <c r="AJ13" s="25">
        <f>'Cashflow Workings'!AJ13</f>
        <v>21700</v>
      </c>
      <c r="AK13" s="25">
        <f>'Cashflow Workings'!AK13</f>
        <v>20300</v>
      </c>
      <c r="AL13" s="25">
        <f>'Cashflow Workings'!AL13</f>
        <v>21700</v>
      </c>
      <c r="AM13" s="25">
        <f>'Cashflow Workings'!AM13</f>
        <v>13300</v>
      </c>
      <c r="AN13" s="25">
        <f>'Cashflow Workings'!AN13</f>
        <v>18900</v>
      </c>
      <c r="AO13" s="25">
        <f>'Cashflow Workings'!AO13</f>
        <v>21700</v>
      </c>
      <c r="AP13" s="25">
        <f>'P_L Workings'!AP74</f>
        <v>20300</v>
      </c>
      <c r="AQ13" s="25">
        <f>'P_L Workings'!AQ74</f>
        <v>21700</v>
      </c>
      <c r="AR13" s="25">
        <f>'P_L Workings'!AR74</f>
        <v>21000</v>
      </c>
      <c r="AS13" s="25">
        <f>'P_L Workings'!AS74</f>
        <v>21700</v>
      </c>
      <c r="AT13" s="25">
        <f>'P_L Workings'!AT74</f>
        <v>21700</v>
      </c>
      <c r="AU13" s="25">
        <f>'P_L Workings'!AU74</f>
        <v>21000</v>
      </c>
      <c r="AV13" s="25">
        <f>'P_L Workings'!AV74</f>
        <v>21700</v>
      </c>
      <c r="AW13" s="25">
        <f>'P_L Workings'!AW74</f>
        <v>20300</v>
      </c>
      <c r="AX13" s="25">
        <f>'P_L Workings'!AX74</f>
        <v>21700</v>
      </c>
      <c r="AY13" s="25">
        <f>'P_L Workings'!AY74</f>
        <v>13300</v>
      </c>
      <c r="AZ13" s="25">
        <f>'P_L Workings'!AZ74</f>
        <v>18900</v>
      </c>
      <c r="BA13" s="25">
        <f>'P_L Workings'!BA74</f>
        <v>21700</v>
      </c>
      <c r="BC13" s="2">
        <f t="shared" si="0"/>
        <v>245000</v>
      </c>
    </row>
    <row r="14" spans="1:55" ht="13" x14ac:dyDescent="0.3">
      <c r="B14" s="34" t="s">
        <v>184</v>
      </c>
      <c r="AD14" s="25">
        <f>'Cashflow Workings'!AD14</f>
        <v>3552.5</v>
      </c>
      <c r="AE14" s="25">
        <f>'Cashflow Workings'!AE14</f>
        <v>3797.4999999999995</v>
      </c>
      <c r="AF14" s="25">
        <f>'Cashflow Workings'!AF14</f>
        <v>3674.9999999999995</v>
      </c>
      <c r="AG14" s="25">
        <f>'Cashflow Workings'!AG14</f>
        <v>3797.4999999999995</v>
      </c>
      <c r="AH14" s="25">
        <f>'Cashflow Workings'!AH14</f>
        <v>3797.4999999999995</v>
      </c>
      <c r="AI14" s="25">
        <f>'Cashflow Workings'!AI14</f>
        <v>3674.9999999999995</v>
      </c>
      <c r="AJ14" s="25">
        <f>'Cashflow Workings'!AJ14</f>
        <v>3797.4999999999995</v>
      </c>
      <c r="AK14" s="25">
        <f>'Cashflow Workings'!AK14</f>
        <v>3552.5</v>
      </c>
      <c r="AL14" s="25">
        <f>'Cashflow Workings'!AL14</f>
        <v>3797.4999999999995</v>
      </c>
      <c r="AM14" s="25">
        <f>'Cashflow Workings'!AM14</f>
        <v>2327.5</v>
      </c>
      <c r="AN14" s="25">
        <f>'Cashflow Workings'!AN14</f>
        <v>3307.5</v>
      </c>
      <c r="AO14" s="25">
        <f>'Cashflow Workings'!AO14</f>
        <v>3797.4999999999995</v>
      </c>
      <c r="BC14" s="2">
        <f t="shared" si="0"/>
        <v>42875</v>
      </c>
    </row>
    <row r="15" spans="1:55" ht="13" x14ac:dyDescent="0.3">
      <c r="B15" s="34" t="s">
        <v>161</v>
      </c>
      <c r="BC15" s="2">
        <f t="shared" si="0"/>
        <v>0</v>
      </c>
    </row>
    <row r="16" spans="1:55" x14ac:dyDescent="0.25">
      <c r="B16" s="34" t="s">
        <v>162</v>
      </c>
    </row>
    <row r="17" spans="1:55" s="2" customFormat="1" ht="13" x14ac:dyDescent="0.3">
      <c r="C17" s="35">
        <f t="shared" ref="C17:AH17" si="5">SUM(C8:C16)</f>
        <v>1500000</v>
      </c>
      <c r="D17" s="35">
        <f t="shared" si="5"/>
        <v>0</v>
      </c>
      <c r="E17" s="35">
        <f t="shared" si="5"/>
        <v>391289.25</v>
      </c>
      <c r="F17" s="35">
        <f t="shared" si="5"/>
        <v>1664581.2877500001</v>
      </c>
      <c r="G17" s="35">
        <f t="shared" si="5"/>
        <v>1779379.99725</v>
      </c>
      <c r="H17" s="35">
        <f t="shared" si="5"/>
        <v>1839306.91875</v>
      </c>
      <c r="I17" s="35">
        <f t="shared" si="5"/>
        <v>2004683.3743750001</v>
      </c>
      <c r="J17" s="35">
        <f t="shared" si="5"/>
        <v>2004683.3743750001</v>
      </c>
      <c r="K17" s="35">
        <f t="shared" si="5"/>
        <v>1721980.6425000001</v>
      </c>
      <c r="L17" s="35">
        <f t="shared" si="5"/>
        <v>1779379.99725</v>
      </c>
      <c r="M17" s="35">
        <f t="shared" si="5"/>
        <v>1664581.2877500001</v>
      </c>
      <c r="N17" s="35">
        <f t="shared" si="5"/>
        <v>1817468.2355999998</v>
      </c>
      <c r="O17" s="35">
        <f t="shared" si="5"/>
        <v>1090587.74025</v>
      </c>
      <c r="P17" s="35">
        <f t="shared" si="5"/>
        <v>1549782.57825</v>
      </c>
      <c r="Q17" s="35">
        <f t="shared" si="5"/>
        <v>1779379.99725</v>
      </c>
      <c r="R17" s="35">
        <f t="shared" si="5"/>
        <v>1764613.90225</v>
      </c>
      <c r="S17" s="35">
        <f t="shared" si="5"/>
        <v>1886311.4127500001</v>
      </c>
      <c r="T17" s="35">
        <f t="shared" si="5"/>
        <v>1955377.59</v>
      </c>
      <c r="U17" s="35">
        <f t="shared" si="5"/>
        <v>2145436.3130000001</v>
      </c>
      <c r="V17" s="35">
        <f t="shared" si="5"/>
        <v>2145436.3130000001</v>
      </c>
      <c r="W17" s="35">
        <f t="shared" si="5"/>
        <v>1825462.6575</v>
      </c>
      <c r="X17" s="35">
        <f t="shared" si="5"/>
        <v>1886311.4127500001</v>
      </c>
      <c r="Y17" s="35">
        <f t="shared" si="5"/>
        <v>1764613.90225</v>
      </c>
      <c r="Z17" s="35">
        <f t="shared" si="5"/>
        <v>1920653.267</v>
      </c>
      <c r="AA17" s="35">
        <f t="shared" si="5"/>
        <v>1095277.5945000001</v>
      </c>
      <c r="AB17" s="35">
        <f t="shared" si="5"/>
        <v>1703765.1469999999</v>
      </c>
      <c r="AC17" s="35">
        <f t="shared" si="5"/>
        <v>1886311.4127500001</v>
      </c>
      <c r="AD17" s="35">
        <f t="shared" si="5"/>
        <v>1898132.2004999998</v>
      </c>
      <c r="AE17" s="35">
        <f t="shared" si="5"/>
        <v>2029037.8695</v>
      </c>
      <c r="AF17" s="35">
        <f t="shared" si="5"/>
        <v>2065301.3774999999</v>
      </c>
      <c r="AG17" s="35">
        <f t="shared" si="5"/>
        <v>2259024.2267499999</v>
      </c>
      <c r="AH17" s="35">
        <f t="shared" si="5"/>
        <v>2259024.2267499999</v>
      </c>
      <c r="AI17" s="35">
        <f t="shared" ref="AI17:BA17" si="6">SUM(AI8:AI16)</f>
        <v>1927833.25125</v>
      </c>
      <c r="AJ17" s="35">
        <f t="shared" si="6"/>
        <v>1992094.359625</v>
      </c>
      <c r="AK17" s="35">
        <f t="shared" si="6"/>
        <v>1863572.1428750001</v>
      </c>
      <c r="AL17" s="35">
        <f t="shared" si="6"/>
        <v>2029037.8695</v>
      </c>
      <c r="AM17" s="35">
        <f t="shared" si="6"/>
        <v>1220961.0591249999</v>
      </c>
      <c r="AN17" s="35">
        <f t="shared" si="6"/>
        <v>1735049.926125</v>
      </c>
      <c r="AO17" s="35">
        <f t="shared" si="6"/>
        <v>1992094.359625</v>
      </c>
      <c r="AP17" s="35">
        <f t="shared" si="6"/>
        <v>1995586.0081249997</v>
      </c>
      <c r="AQ17" s="35">
        <f t="shared" si="6"/>
        <v>2096269.1195</v>
      </c>
      <c r="AR17" s="35">
        <f t="shared" si="6"/>
        <v>2130363.8774999999</v>
      </c>
      <c r="AS17" s="35">
        <f t="shared" si="6"/>
        <v>2326255.4767499999</v>
      </c>
      <c r="AT17" s="35">
        <f t="shared" si="6"/>
        <v>2326255.4767499999</v>
      </c>
      <c r="AU17" s="35">
        <f t="shared" si="6"/>
        <v>2000448.9449999998</v>
      </c>
      <c r="AV17" s="35">
        <f t="shared" si="6"/>
        <v>2067130.5765</v>
      </c>
      <c r="AW17" s="35">
        <f t="shared" si="6"/>
        <v>1926465.8928750001</v>
      </c>
      <c r="AX17" s="35">
        <f t="shared" si="6"/>
        <v>2096269.1195</v>
      </c>
      <c r="AY17" s="35">
        <f t="shared" si="6"/>
        <v>1262167.3091250001</v>
      </c>
      <c r="AZ17" s="35">
        <f t="shared" si="6"/>
        <v>1793606.176125</v>
      </c>
      <c r="BA17" s="35">
        <f t="shared" si="6"/>
        <v>2059325.609625</v>
      </c>
      <c r="BC17" s="35">
        <f>SUM(BC8:BC16)</f>
        <v>23271162.869124997</v>
      </c>
    </row>
    <row r="19" spans="1:55" ht="15.5" x14ac:dyDescent="0.35">
      <c r="A19" s="26" t="s">
        <v>163</v>
      </c>
    </row>
    <row r="20" spans="1:55" ht="12.75" customHeight="1" x14ac:dyDescent="0.35">
      <c r="A20" s="26"/>
    </row>
    <row r="21" spans="1:55" ht="12.75" customHeight="1" x14ac:dyDescent="0.35">
      <c r="A21" s="26"/>
      <c r="B21" s="1" t="s">
        <v>164</v>
      </c>
      <c r="C21" s="25">
        <f>1000000</f>
        <v>1000000</v>
      </c>
    </row>
    <row r="22" spans="1:55" s="13" customFormat="1" ht="12.75" customHeight="1" x14ac:dyDescent="0.3">
      <c r="B22" s="61" t="s">
        <v>21</v>
      </c>
      <c r="C22" s="33">
        <f>'P_L Workings'!C84</f>
        <v>0</v>
      </c>
      <c r="D22" s="33">
        <f>'P_L Workings'!D84</f>
        <v>0</v>
      </c>
      <c r="E22" s="33">
        <f>'P_L Workings'!E84</f>
        <v>0</v>
      </c>
      <c r="F22" s="33">
        <f>'P_L Workings'!F84</f>
        <v>0</v>
      </c>
      <c r="G22" s="33">
        <f>'P_L Workings'!G84</f>
        <v>0</v>
      </c>
      <c r="H22" s="33">
        <f>'P_L Workings'!H84</f>
        <v>0</v>
      </c>
      <c r="I22" s="33">
        <f>'P_L Workings'!I84</f>
        <v>0</v>
      </c>
      <c r="J22" s="33">
        <f>'P_L Workings'!J84</f>
        <v>0</v>
      </c>
      <c r="K22" s="33">
        <f>'P_L Workings'!K84</f>
        <v>0</v>
      </c>
      <c r="L22" s="33">
        <f>'P_L Workings'!L84</f>
        <v>0</v>
      </c>
      <c r="M22" s="33">
        <f>'P_L Workings'!M84</f>
        <v>0</v>
      </c>
      <c r="N22" s="33">
        <f>'P_L Workings'!N84</f>
        <v>0</v>
      </c>
      <c r="O22" s="33">
        <f>'P_L Workings'!O84</f>
        <v>0</v>
      </c>
      <c r="P22" s="33">
        <f>'P_L Workings'!P84</f>
        <v>0</v>
      </c>
      <c r="Q22" s="33">
        <f>'P_L Workings'!Q84</f>
        <v>0</v>
      </c>
      <c r="R22" s="33">
        <f>'P_L Workings'!R84</f>
        <v>0</v>
      </c>
      <c r="S22" s="33">
        <f>'P_L Workings'!S84</f>
        <v>0</v>
      </c>
      <c r="T22" s="33">
        <f>'P_L Workings'!T84</f>
        <v>0</v>
      </c>
      <c r="U22" s="33">
        <f>'P_L Workings'!U84</f>
        <v>0</v>
      </c>
      <c r="V22" s="33">
        <f>'P_L Workings'!V84</f>
        <v>0</v>
      </c>
      <c r="W22" s="33">
        <f>'P_L Workings'!W84</f>
        <v>0</v>
      </c>
      <c r="X22" s="33">
        <f>'P_L Workings'!X84</f>
        <v>0</v>
      </c>
      <c r="Y22" s="33">
        <f>'P_L Workings'!Y84</f>
        <v>0</v>
      </c>
      <c r="Z22" s="33">
        <f>'P_L Workings'!Z84</f>
        <v>0</v>
      </c>
      <c r="AA22" s="33">
        <f>'P_L Workings'!AA84</f>
        <v>0</v>
      </c>
      <c r="AB22" s="33">
        <f>'P_L Workings'!AB84</f>
        <v>0</v>
      </c>
      <c r="AC22" s="33">
        <f>'P_L Workings'!AC84</f>
        <v>0</v>
      </c>
      <c r="AD22" s="33">
        <f>'Cashflow Workings'!AD22</f>
        <v>0</v>
      </c>
      <c r="AE22" s="33">
        <f>'Cashflow Workings'!AE22</f>
        <v>0</v>
      </c>
      <c r="AF22" s="33">
        <f>'Cashflow Workings'!AF22</f>
        <v>0</v>
      </c>
      <c r="AG22" s="33">
        <f>'Cashflow Workings'!AG22</f>
        <v>0</v>
      </c>
      <c r="AH22" s="33">
        <f>'Cashflow Workings'!AH22</f>
        <v>0</v>
      </c>
      <c r="AI22" s="33">
        <f>'Cashflow Workings'!AI22</f>
        <v>0</v>
      </c>
      <c r="AJ22" s="33">
        <f>'Cashflow Workings'!AJ22</f>
        <v>0</v>
      </c>
      <c r="AK22" s="33">
        <f>'Cashflow Workings'!AK22</f>
        <v>0</v>
      </c>
      <c r="AL22" s="33">
        <f>'Cashflow Workings'!AL22</f>
        <v>0</v>
      </c>
      <c r="AM22" s="33">
        <f>'Cashflow Workings'!AM22</f>
        <v>0</v>
      </c>
      <c r="AN22" s="33">
        <f>'Cashflow Workings'!AN22</f>
        <v>0</v>
      </c>
      <c r="AO22" s="33">
        <f>'Cashflow Workings'!AO22</f>
        <v>0</v>
      </c>
      <c r="AP22" s="33">
        <f>'P_L Workings'!AP84</f>
        <v>0</v>
      </c>
      <c r="AQ22" s="33">
        <f>'P_L Workings'!AQ84</f>
        <v>0</v>
      </c>
      <c r="AR22" s="33">
        <f>'P_L Workings'!AR84</f>
        <v>0</v>
      </c>
      <c r="AS22" s="33">
        <f>'P_L Workings'!AS84</f>
        <v>0</v>
      </c>
      <c r="AT22" s="33">
        <f>'P_L Workings'!AT84</f>
        <v>0</v>
      </c>
      <c r="AU22" s="33">
        <f>'P_L Workings'!AU84</f>
        <v>0</v>
      </c>
      <c r="AV22" s="33">
        <f>'P_L Workings'!AV84</f>
        <v>0</v>
      </c>
      <c r="AW22" s="33">
        <f>'P_L Workings'!AW84</f>
        <v>0</v>
      </c>
      <c r="AX22" s="33">
        <f>'P_L Workings'!AX84</f>
        <v>0</v>
      </c>
      <c r="AY22" s="33">
        <f>'P_L Workings'!AY84</f>
        <v>0</v>
      </c>
      <c r="AZ22" s="33">
        <f>'P_L Workings'!AZ84</f>
        <v>0</v>
      </c>
      <c r="BA22" s="33">
        <f>'P_L Workings'!BA84</f>
        <v>0</v>
      </c>
      <c r="BC22" s="2">
        <f t="shared" ref="BC22:BC36" si="7">SUM(AD22:AO22)</f>
        <v>0</v>
      </c>
    </row>
    <row r="23" spans="1:55" s="13" customFormat="1" ht="12.75" customHeight="1" x14ac:dyDescent="0.3">
      <c r="B23" s="61" t="s">
        <v>165</v>
      </c>
      <c r="C23" s="62">
        <f t="shared" ref="C23:AC23" si="8">C22*0.175</f>
        <v>0</v>
      </c>
      <c r="D23" s="62">
        <f t="shared" si="8"/>
        <v>0</v>
      </c>
      <c r="E23" s="62">
        <f t="shared" si="8"/>
        <v>0</v>
      </c>
      <c r="F23" s="62">
        <f t="shared" si="8"/>
        <v>0</v>
      </c>
      <c r="G23" s="62">
        <f t="shared" si="8"/>
        <v>0</v>
      </c>
      <c r="H23" s="62">
        <f t="shared" si="8"/>
        <v>0</v>
      </c>
      <c r="I23" s="62">
        <f t="shared" si="8"/>
        <v>0</v>
      </c>
      <c r="J23" s="62">
        <f t="shared" si="8"/>
        <v>0</v>
      </c>
      <c r="K23" s="62">
        <f t="shared" si="8"/>
        <v>0</v>
      </c>
      <c r="L23" s="62">
        <f t="shared" si="8"/>
        <v>0</v>
      </c>
      <c r="M23" s="62">
        <f t="shared" si="8"/>
        <v>0</v>
      </c>
      <c r="N23" s="62">
        <f t="shared" si="8"/>
        <v>0</v>
      </c>
      <c r="O23" s="62">
        <f t="shared" si="8"/>
        <v>0</v>
      </c>
      <c r="P23" s="62">
        <f t="shared" si="8"/>
        <v>0</v>
      </c>
      <c r="Q23" s="62">
        <f t="shared" si="8"/>
        <v>0</v>
      </c>
      <c r="R23" s="62">
        <f t="shared" si="8"/>
        <v>0</v>
      </c>
      <c r="S23" s="62">
        <f t="shared" si="8"/>
        <v>0</v>
      </c>
      <c r="T23" s="62">
        <f t="shared" si="8"/>
        <v>0</v>
      </c>
      <c r="U23" s="62">
        <f t="shared" si="8"/>
        <v>0</v>
      </c>
      <c r="V23" s="62">
        <f t="shared" si="8"/>
        <v>0</v>
      </c>
      <c r="W23" s="62">
        <f t="shared" si="8"/>
        <v>0</v>
      </c>
      <c r="X23" s="62">
        <f t="shared" si="8"/>
        <v>0</v>
      </c>
      <c r="Y23" s="62">
        <f t="shared" si="8"/>
        <v>0</v>
      </c>
      <c r="Z23" s="62">
        <f t="shared" si="8"/>
        <v>0</v>
      </c>
      <c r="AA23" s="62">
        <f t="shared" si="8"/>
        <v>0</v>
      </c>
      <c r="AB23" s="62">
        <f t="shared" si="8"/>
        <v>0</v>
      </c>
      <c r="AC23" s="62">
        <f t="shared" si="8"/>
        <v>0</v>
      </c>
      <c r="AD23" s="33">
        <f>'Cashflow Workings'!AD23</f>
        <v>0</v>
      </c>
      <c r="AE23" s="33">
        <f>'Cashflow Workings'!AE23</f>
        <v>0</v>
      </c>
      <c r="AF23" s="33">
        <f>'Cashflow Workings'!AF23</f>
        <v>0</v>
      </c>
      <c r="AG23" s="33">
        <f>'Cashflow Workings'!AG23</f>
        <v>0</v>
      </c>
      <c r="AH23" s="33">
        <f>'Cashflow Workings'!AH23</f>
        <v>0</v>
      </c>
      <c r="AI23" s="33">
        <f>'Cashflow Workings'!AI23</f>
        <v>0</v>
      </c>
      <c r="AJ23" s="33">
        <f>'Cashflow Workings'!AJ23</f>
        <v>0</v>
      </c>
      <c r="AK23" s="33">
        <f>'Cashflow Workings'!AK23</f>
        <v>0</v>
      </c>
      <c r="AL23" s="33">
        <f>'Cashflow Workings'!AL23</f>
        <v>0</v>
      </c>
      <c r="AM23" s="33">
        <f>'Cashflow Workings'!AM23</f>
        <v>0</v>
      </c>
      <c r="AN23" s="33">
        <f>'Cashflow Workings'!AN23</f>
        <v>0</v>
      </c>
      <c r="AO23" s="33">
        <f>'Cashflow Workings'!AO23</f>
        <v>0</v>
      </c>
      <c r="AP23" s="62">
        <f t="shared" ref="AP23:BA23" si="9">AP22*0.175</f>
        <v>0</v>
      </c>
      <c r="AQ23" s="62">
        <f t="shared" si="9"/>
        <v>0</v>
      </c>
      <c r="AR23" s="62">
        <f t="shared" si="9"/>
        <v>0</v>
      </c>
      <c r="AS23" s="62">
        <f t="shared" si="9"/>
        <v>0</v>
      </c>
      <c r="AT23" s="62">
        <f t="shared" si="9"/>
        <v>0</v>
      </c>
      <c r="AU23" s="62">
        <f t="shared" si="9"/>
        <v>0</v>
      </c>
      <c r="AV23" s="62">
        <f t="shared" si="9"/>
        <v>0</v>
      </c>
      <c r="AW23" s="62">
        <f t="shared" si="9"/>
        <v>0</v>
      </c>
      <c r="AX23" s="62">
        <f t="shared" si="9"/>
        <v>0</v>
      </c>
      <c r="AY23" s="62">
        <f t="shared" si="9"/>
        <v>0</v>
      </c>
      <c r="AZ23" s="62">
        <f t="shared" si="9"/>
        <v>0</v>
      </c>
      <c r="BA23" s="62">
        <f t="shared" si="9"/>
        <v>0</v>
      </c>
      <c r="BC23" s="2">
        <f t="shared" si="7"/>
        <v>0</v>
      </c>
    </row>
    <row r="24" spans="1:55" ht="12.75" customHeight="1" x14ac:dyDescent="0.3">
      <c r="B24" s="63" t="s">
        <v>107</v>
      </c>
      <c r="C24" s="45">
        <f>'P_L Workings'!C91</f>
        <v>0</v>
      </c>
      <c r="D24" s="45">
        <f>'P_L Workings'!D91</f>
        <v>0</v>
      </c>
      <c r="E24" s="45">
        <f>'P_L Workings'!E91</f>
        <v>10357.142857142859</v>
      </c>
      <c r="F24" s="45">
        <f>'P_L Workings'!F91</f>
        <v>20714.285714285717</v>
      </c>
      <c r="G24" s="45">
        <f>'P_L Workings'!G91</f>
        <v>22142.857142857145</v>
      </c>
      <c r="H24" s="45">
        <f>'P_L Workings'!H91</f>
        <v>21428.571428571431</v>
      </c>
      <c r="I24" s="45">
        <f>'P_L Workings'!I91</f>
        <v>22142.857142857145</v>
      </c>
      <c r="J24" s="45">
        <f>'P_L Workings'!J91</f>
        <v>22142.857142857145</v>
      </c>
      <c r="K24" s="45">
        <f>'P_L Workings'!K91</f>
        <v>21428.571428571431</v>
      </c>
      <c r="L24" s="45">
        <f>'P_L Workings'!L91</f>
        <v>22142.857142857145</v>
      </c>
      <c r="M24" s="45">
        <f>'P_L Workings'!M91</f>
        <v>20714.285714285717</v>
      </c>
      <c r="N24" s="45">
        <f>'P_L Workings'!N91</f>
        <v>22142.857142857145</v>
      </c>
      <c r="O24" s="45">
        <f>'P_L Workings'!O91</f>
        <v>13571.428571428572</v>
      </c>
      <c r="P24" s="45">
        <f>'P_L Workings'!P91</f>
        <v>19285.714285714286</v>
      </c>
      <c r="Q24" s="45">
        <f>'P_L Workings'!Q91</f>
        <v>22142.857142857145</v>
      </c>
      <c r="R24" s="45">
        <f>'P_L Workings'!R91</f>
        <v>20714.285714285717</v>
      </c>
      <c r="S24" s="45">
        <f>'P_L Workings'!S91</f>
        <v>22142.857142857145</v>
      </c>
      <c r="T24" s="45">
        <f>'P_L Workings'!T91</f>
        <v>21428.571428571431</v>
      </c>
      <c r="U24" s="45">
        <f>'P_L Workings'!U91</f>
        <v>22142.857142857145</v>
      </c>
      <c r="V24" s="45">
        <f>'P_L Workings'!V91</f>
        <v>22142.857142857145</v>
      </c>
      <c r="W24" s="45">
        <f>'P_L Workings'!W91</f>
        <v>21428.571428571431</v>
      </c>
      <c r="X24" s="45">
        <f>'P_L Workings'!X91</f>
        <v>22142.857142857145</v>
      </c>
      <c r="Y24" s="45">
        <f>'P_L Workings'!Y91</f>
        <v>20714.285714285717</v>
      </c>
      <c r="Z24" s="45">
        <f>'P_L Workings'!Z91</f>
        <v>22142.857142857145</v>
      </c>
      <c r="AA24" s="45">
        <f>'P_L Workings'!AA91</f>
        <v>12857.142857142859</v>
      </c>
      <c r="AB24" s="45">
        <f>'P_L Workings'!AB91</f>
        <v>20000</v>
      </c>
      <c r="AC24" s="45">
        <f>'P_L Workings'!AC91</f>
        <v>22142.857142857145</v>
      </c>
      <c r="AD24" s="33">
        <f>'Cashflow Workings'!AD24</f>
        <v>20714.285714285717</v>
      </c>
      <c r="AE24" s="33">
        <f>'Cashflow Workings'!AE24</f>
        <v>22142.857142857145</v>
      </c>
      <c r="AF24" s="33">
        <f>'Cashflow Workings'!AF24</f>
        <v>21428.571428571431</v>
      </c>
      <c r="AG24" s="33">
        <f>'Cashflow Workings'!AG24</f>
        <v>22142.857142857145</v>
      </c>
      <c r="AH24" s="33">
        <f>'Cashflow Workings'!AH24</f>
        <v>22142.857142857145</v>
      </c>
      <c r="AI24" s="33">
        <f>'Cashflow Workings'!AI24</f>
        <v>21428.571428571431</v>
      </c>
      <c r="AJ24" s="33">
        <f>'Cashflow Workings'!AJ24</f>
        <v>22142.857142857145</v>
      </c>
      <c r="AK24" s="33">
        <f>'Cashflow Workings'!AK24</f>
        <v>20714.285714285717</v>
      </c>
      <c r="AL24" s="33">
        <f>'Cashflow Workings'!AL24</f>
        <v>22142.857142857145</v>
      </c>
      <c r="AM24" s="33">
        <f>'Cashflow Workings'!AM24</f>
        <v>13571.428571428572</v>
      </c>
      <c r="AN24" s="33">
        <f>'Cashflow Workings'!AN24</f>
        <v>19285.714285714286</v>
      </c>
      <c r="AO24" s="33">
        <f>'Cashflow Workings'!AO24</f>
        <v>22142.857142857145</v>
      </c>
      <c r="AP24" s="45">
        <f>'P_L Workings'!AP91</f>
        <v>20714.285714285717</v>
      </c>
      <c r="AQ24" s="45">
        <f>'P_L Workings'!AQ91</f>
        <v>22142.857142857145</v>
      </c>
      <c r="AR24" s="45">
        <f>'P_L Workings'!AR91</f>
        <v>21428.571428571431</v>
      </c>
      <c r="AS24" s="45">
        <f>'P_L Workings'!AS91</f>
        <v>22142.857142857145</v>
      </c>
      <c r="AT24" s="45">
        <f>'P_L Workings'!AT91</f>
        <v>22142.857142857145</v>
      </c>
      <c r="AU24" s="45">
        <f>'P_L Workings'!AU91</f>
        <v>21428.571428571431</v>
      </c>
      <c r="AV24" s="45">
        <f>'P_L Workings'!AV91</f>
        <v>22142.857142857145</v>
      </c>
      <c r="AW24" s="45">
        <f>'P_L Workings'!AW91</f>
        <v>20714.285714285717</v>
      </c>
      <c r="AX24" s="45">
        <f>'P_L Workings'!AX91</f>
        <v>22142.857142857145</v>
      </c>
      <c r="AY24" s="45">
        <f>'P_L Workings'!AY91</f>
        <v>13571.428571428572</v>
      </c>
      <c r="AZ24" s="45">
        <f>'P_L Workings'!AZ91</f>
        <v>19285.714285714286</v>
      </c>
      <c r="BA24" s="45">
        <f>'P_L Workings'!BA91</f>
        <v>22142.857142857145</v>
      </c>
      <c r="BC24" s="2">
        <f t="shared" si="7"/>
        <v>250000</v>
      </c>
    </row>
    <row r="25" spans="1:55" ht="12.75" customHeight="1" x14ac:dyDescent="0.3">
      <c r="B25" s="61" t="s">
        <v>166</v>
      </c>
      <c r="C25" s="45">
        <f t="shared" ref="C25:AC25" si="10">C24*0.175*0.5</f>
        <v>0</v>
      </c>
      <c r="D25" s="45">
        <f t="shared" si="10"/>
        <v>0</v>
      </c>
      <c r="E25" s="45">
        <f t="shared" si="10"/>
        <v>906.25000000000011</v>
      </c>
      <c r="F25" s="45">
        <f t="shared" si="10"/>
        <v>1812.5000000000002</v>
      </c>
      <c r="G25" s="45">
        <f t="shared" si="10"/>
        <v>1937.5</v>
      </c>
      <c r="H25" s="45">
        <f t="shared" si="10"/>
        <v>1875</v>
      </c>
      <c r="I25" s="45">
        <f t="shared" si="10"/>
        <v>1937.5</v>
      </c>
      <c r="J25" s="45">
        <f t="shared" si="10"/>
        <v>1937.5</v>
      </c>
      <c r="K25" s="45">
        <f t="shared" si="10"/>
        <v>1875</v>
      </c>
      <c r="L25" s="45">
        <f t="shared" si="10"/>
        <v>1937.5</v>
      </c>
      <c r="M25" s="45">
        <f t="shared" si="10"/>
        <v>1812.5000000000002</v>
      </c>
      <c r="N25" s="45">
        <f t="shared" si="10"/>
        <v>1937.5</v>
      </c>
      <c r="O25" s="45">
        <f t="shared" si="10"/>
        <v>1187.5</v>
      </c>
      <c r="P25" s="45">
        <f t="shared" si="10"/>
        <v>1687.5</v>
      </c>
      <c r="Q25" s="45">
        <f t="shared" si="10"/>
        <v>1937.5</v>
      </c>
      <c r="R25" s="45">
        <f t="shared" si="10"/>
        <v>1812.5000000000002</v>
      </c>
      <c r="S25" s="45">
        <f t="shared" si="10"/>
        <v>1937.5</v>
      </c>
      <c r="T25" s="45">
        <f t="shared" si="10"/>
        <v>1875</v>
      </c>
      <c r="U25" s="45">
        <f t="shared" si="10"/>
        <v>1937.5</v>
      </c>
      <c r="V25" s="45">
        <f t="shared" si="10"/>
        <v>1937.5</v>
      </c>
      <c r="W25" s="45">
        <f t="shared" si="10"/>
        <v>1875</v>
      </c>
      <c r="X25" s="45">
        <f t="shared" si="10"/>
        <v>1937.5</v>
      </c>
      <c r="Y25" s="45">
        <f t="shared" si="10"/>
        <v>1812.5000000000002</v>
      </c>
      <c r="Z25" s="45">
        <f t="shared" si="10"/>
        <v>1937.5</v>
      </c>
      <c r="AA25" s="45">
        <f t="shared" si="10"/>
        <v>1125</v>
      </c>
      <c r="AB25" s="45">
        <f t="shared" si="10"/>
        <v>1750</v>
      </c>
      <c r="AC25" s="45">
        <f t="shared" si="10"/>
        <v>1937.5</v>
      </c>
      <c r="AD25" s="33">
        <f>'Cashflow Workings'!AD25</f>
        <v>1812.5000000000002</v>
      </c>
      <c r="AE25" s="33">
        <f>'Cashflow Workings'!AE25</f>
        <v>1937.5</v>
      </c>
      <c r="AF25" s="33">
        <f>'Cashflow Workings'!AF25</f>
        <v>1875</v>
      </c>
      <c r="AG25" s="33">
        <f>'Cashflow Workings'!AG25</f>
        <v>1937.5</v>
      </c>
      <c r="AH25" s="33">
        <f>'Cashflow Workings'!AH25</f>
        <v>1937.5</v>
      </c>
      <c r="AI25" s="33">
        <f>'Cashflow Workings'!AI25</f>
        <v>1875</v>
      </c>
      <c r="AJ25" s="33">
        <f>'Cashflow Workings'!AJ25</f>
        <v>1937.5</v>
      </c>
      <c r="AK25" s="33">
        <f>'Cashflow Workings'!AK25</f>
        <v>1812.5000000000002</v>
      </c>
      <c r="AL25" s="33">
        <f>'Cashflow Workings'!AL25</f>
        <v>1937.5</v>
      </c>
      <c r="AM25" s="33">
        <f>'Cashflow Workings'!AM25</f>
        <v>1187.5</v>
      </c>
      <c r="AN25" s="33">
        <f>'Cashflow Workings'!AN25</f>
        <v>1687.5</v>
      </c>
      <c r="AO25" s="33">
        <f>'Cashflow Workings'!AO25</f>
        <v>1937.5</v>
      </c>
      <c r="AP25" s="45">
        <f t="shared" ref="AP25:BA25" si="11">AP24*0.175*0.5</f>
        <v>1812.5000000000002</v>
      </c>
      <c r="AQ25" s="45">
        <f t="shared" si="11"/>
        <v>1937.5</v>
      </c>
      <c r="AR25" s="45">
        <f t="shared" si="11"/>
        <v>1875</v>
      </c>
      <c r="AS25" s="45">
        <f t="shared" si="11"/>
        <v>1937.5</v>
      </c>
      <c r="AT25" s="45">
        <f t="shared" si="11"/>
        <v>1937.5</v>
      </c>
      <c r="AU25" s="45">
        <f t="shared" si="11"/>
        <v>1875</v>
      </c>
      <c r="AV25" s="45">
        <f t="shared" si="11"/>
        <v>1937.5</v>
      </c>
      <c r="AW25" s="45">
        <f t="shared" si="11"/>
        <v>1812.5000000000002</v>
      </c>
      <c r="AX25" s="45">
        <f t="shared" si="11"/>
        <v>1937.5</v>
      </c>
      <c r="AY25" s="45">
        <f t="shared" si="11"/>
        <v>1187.5</v>
      </c>
      <c r="AZ25" s="45">
        <f t="shared" si="11"/>
        <v>1687.5</v>
      </c>
      <c r="BA25" s="45">
        <f t="shared" si="11"/>
        <v>1937.5</v>
      </c>
      <c r="BC25" s="2">
        <f t="shared" si="7"/>
        <v>21875</v>
      </c>
    </row>
    <row r="26" spans="1:55" ht="12.75" customHeight="1" x14ac:dyDescent="0.3">
      <c r="B26" s="61" t="s">
        <v>167</v>
      </c>
      <c r="C26" s="45">
        <f>'P_L Workings'!C142</f>
        <v>0</v>
      </c>
      <c r="D26" s="45">
        <f>'P_L Workings'!D142</f>
        <v>0</v>
      </c>
      <c r="E26" s="45">
        <f>'P_L Workings'!E142</f>
        <v>296779.09794871794</v>
      </c>
      <c r="F26" s="45">
        <f>'P_L Workings'!F142</f>
        <v>1236989.6933333334</v>
      </c>
      <c r="G26" s="45">
        <f>'P_L Workings'!G142</f>
        <v>1285996.3733333333</v>
      </c>
      <c r="H26" s="45">
        <f>'P_L Workings'!H142</f>
        <v>1261493.0333333332</v>
      </c>
      <c r="I26" s="45">
        <f>'P_L Workings'!I142</f>
        <v>1285996.3733333333</v>
      </c>
      <c r="J26" s="45">
        <f>'P_L Workings'!J142</f>
        <v>1285996.3733333333</v>
      </c>
      <c r="K26" s="45">
        <f>'P_L Workings'!K142</f>
        <v>1261493.0333333332</v>
      </c>
      <c r="L26" s="45">
        <f>'P_L Workings'!L142</f>
        <v>1285996.3733333333</v>
      </c>
      <c r="M26" s="45">
        <f>'P_L Workings'!M142</f>
        <v>1236989.6933333334</v>
      </c>
      <c r="N26" s="45">
        <f>'P_L Workings'!N142</f>
        <v>1285996.3733333333</v>
      </c>
      <c r="O26" s="45">
        <f>'P_L Workings'!O142</f>
        <v>991956.29333333333</v>
      </c>
      <c r="P26" s="45">
        <f>'P_L Workings'!P142</f>
        <v>1187983.0133333334</v>
      </c>
      <c r="Q26" s="45">
        <f>'P_L Workings'!Q142</f>
        <v>1285996.3733333333</v>
      </c>
      <c r="R26" s="45">
        <f>'P_L Workings'!R142</f>
        <v>1236989.6933333334</v>
      </c>
      <c r="S26" s="45">
        <f>'P_L Workings'!S142</f>
        <v>1285996.3733333333</v>
      </c>
      <c r="T26" s="45">
        <f>'P_L Workings'!T142</f>
        <v>1261493.0333333332</v>
      </c>
      <c r="U26" s="45">
        <f>'P_L Workings'!U142</f>
        <v>1285996.3733333333</v>
      </c>
      <c r="V26" s="45">
        <f>'P_L Workings'!V142</f>
        <v>1285996.3733333333</v>
      </c>
      <c r="W26" s="45">
        <f>'P_L Workings'!W142</f>
        <v>1261493.0333333332</v>
      </c>
      <c r="X26" s="45">
        <f>'P_L Workings'!X142</f>
        <v>1285996.3733333333</v>
      </c>
      <c r="Y26" s="45">
        <f>'P_L Workings'!Y142</f>
        <v>1236989.6933333334</v>
      </c>
      <c r="Z26" s="45">
        <f>'P_L Workings'!Z142</f>
        <v>1285996.3733333333</v>
      </c>
      <c r="AA26" s="45">
        <f>'P_L Workings'!AA142</f>
        <v>967452.95333333337</v>
      </c>
      <c r="AB26" s="45">
        <f>'P_L Workings'!AB142</f>
        <v>1212486.3533333333</v>
      </c>
      <c r="AC26" s="45">
        <f>'P_L Workings'!AC142</f>
        <v>1285996.3733333333</v>
      </c>
      <c r="AD26" s="33">
        <f>'Cashflow Workings'!AD26</f>
        <v>1236989.6933333334</v>
      </c>
      <c r="AE26" s="33">
        <f>'Cashflow Workings'!AE26</f>
        <v>1285996.3733333333</v>
      </c>
      <c r="AF26" s="33">
        <f>'Cashflow Workings'!AF26</f>
        <v>1261493.0333333332</v>
      </c>
      <c r="AG26" s="33">
        <f>'Cashflow Workings'!AG26</f>
        <v>1285996.3733333333</v>
      </c>
      <c r="AH26" s="33">
        <f>'Cashflow Workings'!AH26</f>
        <v>1285996.3733333333</v>
      </c>
      <c r="AI26" s="33">
        <f>'Cashflow Workings'!AI26</f>
        <v>1261493.0333333332</v>
      </c>
      <c r="AJ26" s="33">
        <f>'Cashflow Workings'!AJ26</f>
        <v>1285996.3733333333</v>
      </c>
      <c r="AK26" s="33">
        <f>'Cashflow Workings'!AK26</f>
        <v>1236989.6933333334</v>
      </c>
      <c r="AL26" s="33">
        <f>'Cashflow Workings'!AL26</f>
        <v>1285996.3733333333</v>
      </c>
      <c r="AM26" s="33">
        <f>'Cashflow Workings'!AM26</f>
        <v>991956.29333333333</v>
      </c>
      <c r="AN26" s="33">
        <f>'Cashflow Workings'!AN26</f>
        <v>1187983.0133333334</v>
      </c>
      <c r="AO26" s="33">
        <f>'Cashflow Workings'!AO26</f>
        <v>1285996.3733333333</v>
      </c>
      <c r="AP26" s="45">
        <f>'P_L Workings'!AP142</f>
        <v>1236989.6933333334</v>
      </c>
      <c r="AQ26" s="45">
        <f>'P_L Workings'!AQ142</f>
        <v>1285996.3733333333</v>
      </c>
      <c r="AR26" s="45">
        <f>'P_L Workings'!AR142</f>
        <v>1261493.0333333332</v>
      </c>
      <c r="AS26" s="45">
        <f>'P_L Workings'!AS142</f>
        <v>1285996.3733333333</v>
      </c>
      <c r="AT26" s="45">
        <f>'P_L Workings'!AT142</f>
        <v>1285996.3733333333</v>
      </c>
      <c r="AU26" s="45">
        <f>'P_L Workings'!AU142</f>
        <v>1261493.0333333332</v>
      </c>
      <c r="AV26" s="45">
        <f>'P_L Workings'!AV142</f>
        <v>1285996.3733333333</v>
      </c>
      <c r="AW26" s="45">
        <f>'P_L Workings'!AW142</f>
        <v>1236989.6933333334</v>
      </c>
      <c r="AX26" s="45">
        <f>'P_L Workings'!AX142</f>
        <v>1285996.3733333333</v>
      </c>
      <c r="AY26" s="45">
        <f>'P_L Workings'!AY142</f>
        <v>991956.29333333333</v>
      </c>
      <c r="AZ26" s="45">
        <f>'P_L Workings'!AZ142</f>
        <v>1187983.0133333334</v>
      </c>
      <c r="BA26" s="45">
        <f>'P_L Workings'!BA142</f>
        <v>1285996.3733333333</v>
      </c>
      <c r="BC26" s="2">
        <f t="shared" si="7"/>
        <v>14892882.999999998</v>
      </c>
    </row>
    <row r="27" spans="1:55" ht="12.75" customHeight="1" x14ac:dyDescent="0.3">
      <c r="B27" s="61" t="s">
        <v>168</v>
      </c>
      <c r="C27" s="45">
        <f t="shared" ref="C27:AC27" si="12">C26*0.1</f>
        <v>0</v>
      </c>
      <c r="D27" s="45">
        <f t="shared" si="12"/>
        <v>0</v>
      </c>
      <c r="E27" s="45">
        <f t="shared" si="12"/>
        <v>29677.909794871797</v>
      </c>
      <c r="F27" s="45">
        <f t="shared" si="12"/>
        <v>123698.96933333334</v>
      </c>
      <c r="G27" s="45">
        <f t="shared" si="12"/>
        <v>128599.63733333333</v>
      </c>
      <c r="H27" s="45">
        <f t="shared" si="12"/>
        <v>126149.30333333333</v>
      </c>
      <c r="I27" s="45">
        <f t="shared" si="12"/>
        <v>128599.63733333333</v>
      </c>
      <c r="J27" s="45">
        <f t="shared" si="12"/>
        <v>128599.63733333333</v>
      </c>
      <c r="K27" s="45">
        <f t="shared" si="12"/>
        <v>126149.30333333333</v>
      </c>
      <c r="L27" s="45">
        <f t="shared" si="12"/>
        <v>128599.63733333333</v>
      </c>
      <c r="M27" s="45">
        <f t="shared" si="12"/>
        <v>123698.96933333334</v>
      </c>
      <c r="N27" s="45">
        <f t="shared" si="12"/>
        <v>128599.63733333333</v>
      </c>
      <c r="O27" s="45">
        <f t="shared" si="12"/>
        <v>99195.629333333345</v>
      </c>
      <c r="P27" s="45">
        <f t="shared" si="12"/>
        <v>118798.30133333335</v>
      </c>
      <c r="Q27" s="45">
        <f t="shared" si="12"/>
        <v>128599.63733333333</v>
      </c>
      <c r="R27" s="45">
        <f t="shared" si="12"/>
        <v>123698.96933333334</v>
      </c>
      <c r="S27" s="45">
        <f t="shared" si="12"/>
        <v>128599.63733333333</v>
      </c>
      <c r="T27" s="45">
        <f t="shared" si="12"/>
        <v>126149.30333333333</v>
      </c>
      <c r="U27" s="45">
        <f t="shared" si="12"/>
        <v>128599.63733333333</v>
      </c>
      <c r="V27" s="45">
        <f t="shared" si="12"/>
        <v>128599.63733333333</v>
      </c>
      <c r="W27" s="45">
        <f t="shared" si="12"/>
        <v>126149.30333333333</v>
      </c>
      <c r="X27" s="45">
        <f t="shared" si="12"/>
        <v>128599.63733333333</v>
      </c>
      <c r="Y27" s="45">
        <f t="shared" si="12"/>
        <v>123698.96933333334</v>
      </c>
      <c r="Z27" s="45">
        <f t="shared" si="12"/>
        <v>128599.63733333333</v>
      </c>
      <c r="AA27" s="45">
        <f t="shared" si="12"/>
        <v>96745.295333333343</v>
      </c>
      <c r="AB27" s="45">
        <f t="shared" si="12"/>
        <v>121248.63533333334</v>
      </c>
      <c r="AC27" s="45">
        <f t="shared" si="12"/>
        <v>128599.63733333333</v>
      </c>
      <c r="AD27" s="33">
        <f>'Cashflow Workings'!AD27</f>
        <v>123698.96933333334</v>
      </c>
      <c r="AE27" s="33">
        <f>'Cashflow Workings'!AE27</f>
        <v>128599.63733333333</v>
      </c>
      <c r="AF27" s="33">
        <f>'Cashflow Workings'!AF27</f>
        <v>126149.30333333333</v>
      </c>
      <c r="AG27" s="33">
        <f>'Cashflow Workings'!AG27</f>
        <v>128599.63733333333</v>
      </c>
      <c r="AH27" s="33">
        <f>'Cashflow Workings'!AH27</f>
        <v>128599.63733333333</v>
      </c>
      <c r="AI27" s="33">
        <f>'Cashflow Workings'!AI27</f>
        <v>126149.30333333333</v>
      </c>
      <c r="AJ27" s="33">
        <f>'Cashflow Workings'!AJ27</f>
        <v>128599.63733333333</v>
      </c>
      <c r="AK27" s="33">
        <f>'Cashflow Workings'!AK27</f>
        <v>123698.96933333334</v>
      </c>
      <c r="AL27" s="33">
        <f>'Cashflow Workings'!AL27</f>
        <v>128599.63733333333</v>
      </c>
      <c r="AM27" s="33">
        <f>'Cashflow Workings'!AM27</f>
        <v>99195.629333333345</v>
      </c>
      <c r="AN27" s="33">
        <f>'Cashflow Workings'!AN27</f>
        <v>118798.30133333335</v>
      </c>
      <c r="AO27" s="33">
        <f>'Cashflow Workings'!AO27</f>
        <v>128599.63733333333</v>
      </c>
      <c r="AP27" s="45">
        <f t="shared" ref="AP27:BA27" si="13">AP26*0.1</f>
        <v>123698.96933333334</v>
      </c>
      <c r="AQ27" s="45">
        <f t="shared" si="13"/>
        <v>128599.63733333333</v>
      </c>
      <c r="AR27" s="45">
        <f t="shared" si="13"/>
        <v>126149.30333333333</v>
      </c>
      <c r="AS27" s="45">
        <f t="shared" si="13"/>
        <v>128599.63733333333</v>
      </c>
      <c r="AT27" s="45">
        <f t="shared" si="13"/>
        <v>128599.63733333333</v>
      </c>
      <c r="AU27" s="45">
        <f t="shared" si="13"/>
        <v>126149.30333333333</v>
      </c>
      <c r="AV27" s="45">
        <f t="shared" si="13"/>
        <v>128599.63733333333</v>
      </c>
      <c r="AW27" s="45">
        <f t="shared" si="13"/>
        <v>123698.96933333334</v>
      </c>
      <c r="AX27" s="45">
        <f t="shared" si="13"/>
        <v>128599.63733333333</v>
      </c>
      <c r="AY27" s="45">
        <f t="shared" si="13"/>
        <v>99195.629333333345</v>
      </c>
      <c r="AZ27" s="45">
        <f t="shared" si="13"/>
        <v>118798.30133333335</v>
      </c>
      <c r="BA27" s="45">
        <f t="shared" si="13"/>
        <v>128599.63733333333</v>
      </c>
      <c r="BC27" s="2">
        <f t="shared" si="7"/>
        <v>1489288.3</v>
      </c>
    </row>
    <row r="28" spans="1:55" ht="12.75" customHeight="1" x14ac:dyDescent="0.3">
      <c r="B28" s="61" t="s">
        <v>169</v>
      </c>
      <c r="C28" s="45">
        <f>'P_L Workings'!C149</f>
        <v>0</v>
      </c>
      <c r="D28" s="45">
        <f>'P_L Workings'!D149</f>
        <v>0</v>
      </c>
      <c r="E28" s="45">
        <f>'P_L Workings'!E149</f>
        <v>600000</v>
      </c>
      <c r="F28" s="45">
        <f>'P_L Workings'!F149</f>
        <v>28750</v>
      </c>
      <c r="G28" s="45">
        <f>'P_L Workings'!G149</f>
        <v>28750</v>
      </c>
      <c r="H28" s="45">
        <f>'P_L Workings'!H149</f>
        <v>28750</v>
      </c>
      <c r="I28" s="45">
        <f>'P_L Workings'!I149</f>
        <v>28750</v>
      </c>
      <c r="J28" s="45">
        <f>'P_L Workings'!J149</f>
        <v>28750</v>
      </c>
      <c r="K28" s="45">
        <f>'P_L Workings'!K149</f>
        <v>28750</v>
      </c>
      <c r="L28" s="45">
        <f>'P_L Workings'!L149</f>
        <v>28750</v>
      </c>
      <c r="M28" s="45">
        <f>'P_L Workings'!M149</f>
        <v>28750</v>
      </c>
      <c r="N28" s="45">
        <f>'P_L Workings'!N149</f>
        <v>28750</v>
      </c>
      <c r="O28" s="45">
        <f>'P_L Workings'!O149</f>
        <v>28750</v>
      </c>
      <c r="P28" s="45">
        <f>'P_L Workings'!P149</f>
        <v>28750</v>
      </c>
      <c r="Q28" s="45">
        <f>'P_L Workings'!Q149</f>
        <v>28750</v>
      </c>
      <c r="R28" s="45">
        <f>'P_L Workings'!R149</f>
        <v>28750</v>
      </c>
      <c r="S28" s="45">
        <f>'P_L Workings'!S149</f>
        <v>28750</v>
      </c>
      <c r="T28" s="45">
        <f>'P_L Workings'!T149</f>
        <v>28750</v>
      </c>
      <c r="U28" s="45">
        <f>'P_L Workings'!U149</f>
        <v>28750</v>
      </c>
      <c r="V28" s="45">
        <f>'P_L Workings'!V149</f>
        <v>28750</v>
      </c>
      <c r="W28" s="45">
        <f>'P_L Workings'!W149</f>
        <v>28750</v>
      </c>
      <c r="X28" s="45">
        <f>'P_L Workings'!X149</f>
        <v>28750</v>
      </c>
      <c r="Y28" s="45">
        <f>'P_L Workings'!Y149</f>
        <v>28750</v>
      </c>
      <c r="Z28" s="45">
        <f>'P_L Workings'!Z149</f>
        <v>28750</v>
      </c>
      <c r="AA28" s="45">
        <f>'P_L Workings'!AA149</f>
        <v>28750</v>
      </c>
      <c r="AB28" s="45">
        <f>'P_L Workings'!AB149</f>
        <v>28750</v>
      </c>
      <c r="AC28" s="45">
        <f>'P_L Workings'!AC149</f>
        <v>28750</v>
      </c>
      <c r="AD28" s="33">
        <f>'Cashflow Workings'!AD28</f>
        <v>28750</v>
      </c>
      <c r="AE28" s="33">
        <f>'Cashflow Workings'!AE28</f>
        <v>28750</v>
      </c>
      <c r="AF28" s="33">
        <f>'Cashflow Workings'!AF28</f>
        <v>28750</v>
      </c>
      <c r="AG28" s="33">
        <f>'Cashflow Workings'!AG28</f>
        <v>28750</v>
      </c>
      <c r="AH28" s="33">
        <f>'Cashflow Workings'!AH28</f>
        <v>28750</v>
      </c>
      <c r="AI28" s="33">
        <f>'Cashflow Workings'!AI28</f>
        <v>28750</v>
      </c>
      <c r="AJ28" s="33">
        <f>'Cashflow Workings'!AJ28</f>
        <v>28750</v>
      </c>
      <c r="AK28" s="33">
        <f>'Cashflow Workings'!AK28</f>
        <v>28750</v>
      </c>
      <c r="AL28" s="33">
        <f>'Cashflow Workings'!AL28</f>
        <v>28750</v>
      </c>
      <c r="AM28" s="33">
        <f>'Cashflow Workings'!AM28</f>
        <v>28750</v>
      </c>
      <c r="AN28" s="33">
        <f>'Cashflow Workings'!AN28</f>
        <v>28750</v>
      </c>
      <c r="AO28" s="33">
        <f>'Cashflow Workings'!AO28</f>
        <v>28750</v>
      </c>
      <c r="AP28" s="45">
        <f>'P_L Workings'!AP149</f>
        <v>28750</v>
      </c>
      <c r="AQ28" s="45">
        <f>'P_L Workings'!AQ149</f>
        <v>28750</v>
      </c>
      <c r="AR28" s="45">
        <f>'P_L Workings'!AR149</f>
        <v>28750</v>
      </c>
      <c r="AS28" s="45">
        <f>'P_L Workings'!AS149</f>
        <v>28750</v>
      </c>
      <c r="AT28" s="45">
        <f>'P_L Workings'!AT149</f>
        <v>28750</v>
      </c>
      <c r="AU28" s="45">
        <f>'P_L Workings'!AU149</f>
        <v>28750</v>
      </c>
      <c r="AV28" s="45">
        <f>'P_L Workings'!AV149</f>
        <v>28750</v>
      </c>
      <c r="AW28" s="45">
        <f>'P_L Workings'!AW149</f>
        <v>28750</v>
      </c>
      <c r="AX28" s="45">
        <f>'P_L Workings'!AX149</f>
        <v>28750</v>
      </c>
      <c r="AY28" s="45">
        <f>'P_L Workings'!AY149</f>
        <v>28750</v>
      </c>
      <c r="AZ28" s="45">
        <f>'P_L Workings'!AZ149</f>
        <v>28750</v>
      </c>
      <c r="BA28" s="45">
        <f>'P_L Workings'!BA149</f>
        <v>28750</v>
      </c>
      <c r="BC28" s="2">
        <f t="shared" si="7"/>
        <v>345000</v>
      </c>
    </row>
    <row r="29" spans="1:55" ht="12.75" customHeight="1" x14ac:dyDescent="0.3">
      <c r="B29" s="61" t="s">
        <v>170</v>
      </c>
      <c r="C29" s="45">
        <f t="shared" ref="C29:AC29" si="14">C28*0.175</f>
        <v>0</v>
      </c>
      <c r="D29" s="45">
        <f t="shared" si="14"/>
        <v>0</v>
      </c>
      <c r="E29" s="45">
        <f t="shared" si="14"/>
        <v>105000</v>
      </c>
      <c r="F29" s="45">
        <f t="shared" si="14"/>
        <v>5031.25</v>
      </c>
      <c r="G29" s="45">
        <f t="shared" si="14"/>
        <v>5031.25</v>
      </c>
      <c r="H29" s="45">
        <f t="shared" si="14"/>
        <v>5031.25</v>
      </c>
      <c r="I29" s="45">
        <f t="shared" si="14"/>
        <v>5031.25</v>
      </c>
      <c r="J29" s="45">
        <f t="shared" si="14"/>
        <v>5031.25</v>
      </c>
      <c r="K29" s="45">
        <f t="shared" si="14"/>
        <v>5031.25</v>
      </c>
      <c r="L29" s="45">
        <f t="shared" si="14"/>
        <v>5031.25</v>
      </c>
      <c r="M29" s="45">
        <f t="shared" si="14"/>
        <v>5031.25</v>
      </c>
      <c r="N29" s="45">
        <f t="shared" si="14"/>
        <v>5031.25</v>
      </c>
      <c r="O29" s="45">
        <f t="shared" si="14"/>
        <v>5031.25</v>
      </c>
      <c r="P29" s="45">
        <f t="shared" si="14"/>
        <v>5031.25</v>
      </c>
      <c r="Q29" s="45">
        <f t="shared" si="14"/>
        <v>5031.25</v>
      </c>
      <c r="R29" s="45">
        <f t="shared" si="14"/>
        <v>5031.25</v>
      </c>
      <c r="S29" s="45">
        <f t="shared" si="14"/>
        <v>5031.25</v>
      </c>
      <c r="T29" s="45">
        <f t="shared" si="14"/>
        <v>5031.25</v>
      </c>
      <c r="U29" s="45">
        <f t="shared" si="14"/>
        <v>5031.25</v>
      </c>
      <c r="V29" s="45">
        <f t="shared" si="14"/>
        <v>5031.25</v>
      </c>
      <c r="W29" s="45">
        <f t="shared" si="14"/>
        <v>5031.25</v>
      </c>
      <c r="X29" s="45">
        <f t="shared" si="14"/>
        <v>5031.25</v>
      </c>
      <c r="Y29" s="45">
        <f t="shared" si="14"/>
        <v>5031.25</v>
      </c>
      <c r="Z29" s="45">
        <f t="shared" si="14"/>
        <v>5031.25</v>
      </c>
      <c r="AA29" s="45">
        <f t="shared" si="14"/>
        <v>5031.25</v>
      </c>
      <c r="AB29" s="45">
        <f t="shared" si="14"/>
        <v>5031.25</v>
      </c>
      <c r="AC29" s="45">
        <f t="shared" si="14"/>
        <v>5031.25</v>
      </c>
      <c r="AD29" s="33">
        <f>'Cashflow Workings'!AD29</f>
        <v>5031.25</v>
      </c>
      <c r="AE29" s="33">
        <f>'Cashflow Workings'!AE29</f>
        <v>5031.25</v>
      </c>
      <c r="AF29" s="33">
        <f>'Cashflow Workings'!AF29</f>
        <v>5031.25</v>
      </c>
      <c r="AG29" s="33">
        <f>'Cashflow Workings'!AG29</f>
        <v>5031.25</v>
      </c>
      <c r="AH29" s="33">
        <f>'Cashflow Workings'!AH29</f>
        <v>5031.25</v>
      </c>
      <c r="AI29" s="33">
        <f>'Cashflow Workings'!AI29</f>
        <v>5031.25</v>
      </c>
      <c r="AJ29" s="33">
        <f>'Cashflow Workings'!AJ29</f>
        <v>5031.25</v>
      </c>
      <c r="AK29" s="33">
        <f>'Cashflow Workings'!AK29</f>
        <v>5031.25</v>
      </c>
      <c r="AL29" s="33">
        <f>'Cashflow Workings'!AL29</f>
        <v>5031.25</v>
      </c>
      <c r="AM29" s="33">
        <f>'Cashflow Workings'!AM29</f>
        <v>5031.25</v>
      </c>
      <c r="AN29" s="33">
        <f>'Cashflow Workings'!AN29</f>
        <v>5031.25</v>
      </c>
      <c r="AO29" s="33">
        <f>'Cashflow Workings'!AO29</f>
        <v>5031.25</v>
      </c>
      <c r="AP29" s="45">
        <f t="shared" ref="AP29:BA29" si="15">AP28*0.175</f>
        <v>5031.25</v>
      </c>
      <c r="AQ29" s="45">
        <f t="shared" si="15"/>
        <v>5031.25</v>
      </c>
      <c r="AR29" s="45">
        <f t="shared" si="15"/>
        <v>5031.25</v>
      </c>
      <c r="AS29" s="45">
        <f t="shared" si="15"/>
        <v>5031.25</v>
      </c>
      <c r="AT29" s="45">
        <f t="shared" si="15"/>
        <v>5031.25</v>
      </c>
      <c r="AU29" s="45">
        <f t="shared" si="15"/>
        <v>5031.25</v>
      </c>
      <c r="AV29" s="45">
        <f t="shared" si="15"/>
        <v>5031.25</v>
      </c>
      <c r="AW29" s="45">
        <f t="shared" si="15"/>
        <v>5031.25</v>
      </c>
      <c r="AX29" s="45">
        <f t="shared" si="15"/>
        <v>5031.25</v>
      </c>
      <c r="AY29" s="45">
        <f t="shared" si="15"/>
        <v>5031.25</v>
      </c>
      <c r="AZ29" s="45">
        <f t="shared" si="15"/>
        <v>5031.25</v>
      </c>
      <c r="BA29" s="45">
        <f t="shared" si="15"/>
        <v>5031.25</v>
      </c>
      <c r="BC29" s="2">
        <f t="shared" si="7"/>
        <v>60375</v>
      </c>
    </row>
    <row r="30" spans="1:55" ht="12.75" customHeight="1" x14ac:dyDescent="0.3">
      <c r="B30" s="61" t="s">
        <v>171</v>
      </c>
      <c r="C30" s="45">
        <f>'P_L Workings'!C157</f>
        <v>0</v>
      </c>
      <c r="D30" s="45">
        <f>'P_L Workings'!D157</f>
        <v>0</v>
      </c>
      <c r="E30" s="45">
        <f>'P_L Workings'!E157</f>
        <v>27250</v>
      </c>
      <c r="F30" s="45">
        <f>'P_L Workings'!F157</f>
        <v>54145.833333333328</v>
      </c>
      <c r="G30" s="45">
        <f>'P_L Workings'!G157</f>
        <v>54145.833333333328</v>
      </c>
      <c r="H30" s="45">
        <f>'P_L Workings'!H157</f>
        <v>54145.833333333328</v>
      </c>
      <c r="I30" s="45">
        <f>'P_L Workings'!I157</f>
        <v>54145.833333333328</v>
      </c>
      <c r="J30" s="45">
        <f>'P_L Workings'!J157</f>
        <v>54145.833333333328</v>
      </c>
      <c r="K30" s="45">
        <f>'P_L Workings'!K157</f>
        <v>54145.833333333328</v>
      </c>
      <c r="L30" s="45">
        <f>'P_L Workings'!L157</f>
        <v>54145.833333333328</v>
      </c>
      <c r="M30" s="45">
        <f>'P_L Workings'!M157</f>
        <v>54145.833333333328</v>
      </c>
      <c r="N30" s="45">
        <f>'P_L Workings'!N157</f>
        <v>54145.833333333328</v>
      </c>
      <c r="O30" s="45">
        <f>'P_L Workings'!O157</f>
        <v>54145.833333333328</v>
      </c>
      <c r="P30" s="45">
        <f>'P_L Workings'!P157</f>
        <v>54145.833333333328</v>
      </c>
      <c r="Q30" s="45">
        <f>'P_L Workings'!Q157</f>
        <v>54145.833333333328</v>
      </c>
      <c r="R30" s="45">
        <f>'P_L Workings'!R157</f>
        <v>54145.833333333328</v>
      </c>
      <c r="S30" s="45">
        <f>'P_L Workings'!S157</f>
        <v>54145.833333333328</v>
      </c>
      <c r="T30" s="45">
        <f>'P_L Workings'!T157</f>
        <v>54145.833333333328</v>
      </c>
      <c r="U30" s="45">
        <f>'P_L Workings'!U157</f>
        <v>54145.833333333328</v>
      </c>
      <c r="V30" s="45">
        <f>'P_L Workings'!V157</f>
        <v>54145.833333333328</v>
      </c>
      <c r="W30" s="45">
        <f>'P_L Workings'!W157</f>
        <v>54145.833333333328</v>
      </c>
      <c r="X30" s="45">
        <f>'P_L Workings'!X157</f>
        <v>54145.833333333328</v>
      </c>
      <c r="Y30" s="45">
        <f>'P_L Workings'!Y157</f>
        <v>54145.833333333328</v>
      </c>
      <c r="Z30" s="45">
        <f>'P_L Workings'!Z157</f>
        <v>54145.833333333328</v>
      </c>
      <c r="AA30" s="45">
        <f>'P_L Workings'!AA157</f>
        <v>54145.833333333328</v>
      </c>
      <c r="AB30" s="45">
        <f>'P_L Workings'!AB157</f>
        <v>54145.833333333328</v>
      </c>
      <c r="AC30" s="45">
        <f>'P_L Workings'!AC157</f>
        <v>54145.833333333328</v>
      </c>
      <c r="AD30" s="33">
        <f>'Cashflow Workings'!AD30</f>
        <v>54145.833333333328</v>
      </c>
      <c r="AE30" s="33">
        <f>'Cashflow Workings'!AE30</f>
        <v>54145.833333333328</v>
      </c>
      <c r="AF30" s="33">
        <f>'Cashflow Workings'!AF30</f>
        <v>54145.833333333328</v>
      </c>
      <c r="AG30" s="33">
        <f>'Cashflow Workings'!AG30</f>
        <v>54145.833333333328</v>
      </c>
      <c r="AH30" s="33">
        <f>'Cashflow Workings'!AH30</f>
        <v>54145.833333333328</v>
      </c>
      <c r="AI30" s="33">
        <f>'Cashflow Workings'!AI30</f>
        <v>54145.833333333328</v>
      </c>
      <c r="AJ30" s="33">
        <f>'Cashflow Workings'!AJ30</f>
        <v>54145.833333333328</v>
      </c>
      <c r="AK30" s="33">
        <f>'Cashflow Workings'!AK30</f>
        <v>54145.833333333328</v>
      </c>
      <c r="AL30" s="33">
        <f>'Cashflow Workings'!AL30</f>
        <v>54145.833333333328</v>
      </c>
      <c r="AM30" s="33">
        <f>'Cashflow Workings'!AM30</f>
        <v>54145.833333333328</v>
      </c>
      <c r="AN30" s="33">
        <f>'Cashflow Workings'!AN30</f>
        <v>54145.833333333328</v>
      </c>
      <c r="AO30" s="33">
        <f>'Cashflow Workings'!AO30</f>
        <v>54145.833333333328</v>
      </c>
      <c r="AP30" s="45">
        <f>'P_L Workings'!AP157</f>
        <v>54145.833333333328</v>
      </c>
      <c r="AQ30" s="45">
        <f>'P_L Workings'!AQ157</f>
        <v>54145.833333333328</v>
      </c>
      <c r="AR30" s="45">
        <f>'P_L Workings'!AR157</f>
        <v>54145.833333333328</v>
      </c>
      <c r="AS30" s="45">
        <f>'P_L Workings'!AS157</f>
        <v>54145.833333333328</v>
      </c>
      <c r="AT30" s="45">
        <f>'P_L Workings'!AT157</f>
        <v>54145.833333333328</v>
      </c>
      <c r="AU30" s="45">
        <f>'P_L Workings'!AU157</f>
        <v>54145.833333333328</v>
      </c>
      <c r="AV30" s="45">
        <f>'P_L Workings'!AV157</f>
        <v>54145.833333333328</v>
      </c>
      <c r="AW30" s="45">
        <f>'P_L Workings'!AW157</f>
        <v>54145.833333333328</v>
      </c>
      <c r="AX30" s="45">
        <f>'P_L Workings'!AX157</f>
        <v>54145.833333333328</v>
      </c>
      <c r="AY30" s="45">
        <f>'P_L Workings'!AY157</f>
        <v>54145.833333333328</v>
      </c>
      <c r="AZ30" s="45">
        <f>'P_L Workings'!AZ157</f>
        <v>54145.833333333328</v>
      </c>
      <c r="BA30" s="45">
        <f>'P_L Workings'!BA157</f>
        <v>54145.833333333328</v>
      </c>
      <c r="BC30" s="2">
        <f t="shared" si="7"/>
        <v>649750</v>
      </c>
    </row>
    <row r="31" spans="1:55" ht="12.75" customHeight="1" x14ac:dyDescent="0.3">
      <c r="B31" s="61" t="s">
        <v>172</v>
      </c>
      <c r="C31" s="45">
        <f t="shared" ref="C31:AC31" si="16">C30*0.175</f>
        <v>0</v>
      </c>
      <c r="D31" s="45">
        <f t="shared" si="16"/>
        <v>0</v>
      </c>
      <c r="E31" s="45">
        <f t="shared" si="16"/>
        <v>4768.75</v>
      </c>
      <c r="F31" s="45">
        <f t="shared" si="16"/>
        <v>9475.5208333333321</v>
      </c>
      <c r="G31" s="45">
        <f t="shared" si="16"/>
        <v>9475.5208333333321</v>
      </c>
      <c r="H31" s="45">
        <f t="shared" si="16"/>
        <v>9475.5208333333321</v>
      </c>
      <c r="I31" s="45">
        <f t="shared" si="16"/>
        <v>9475.5208333333321</v>
      </c>
      <c r="J31" s="45">
        <f t="shared" si="16"/>
        <v>9475.5208333333321</v>
      </c>
      <c r="K31" s="45">
        <f t="shared" si="16"/>
        <v>9475.5208333333321</v>
      </c>
      <c r="L31" s="45">
        <f t="shared" si="16"/>
        <v>9475.5208333333321</v>
      </c>
      <c r="M31" s="45">
        <f t="shared" si="16"/>
        <v>9475.5208333333321</v>
      </c>
      <c r="N31" s="45">
        <f t="shared" si="16"/>
        <v>9475.5208333333321</v>
      </c>
      <c r="O31" s="45">
        <f t="shared" si="16"/>
        <v>9475.5208333333321</v>
      </c>
      <c r="P31" s="45">
        <f t="shared" si="16"/>
        <v>9475.5208333333321</v>
      </c>
      <c r="Q31" s="45">
        <f t="shared" si="16"/>
        <v>9475.5208333333321</v>
      </c>
      <c r="R31" s="45">
        <f t="shared" si="16"/>
        <v>9475.5208333333321</v>
      </c>
      <c r="S31" s="45">
        <f t="shared" si="16"/>
        <v>9475.5208333333321</v>
      </c>
      <c r="T31" s="45">
        <f t="shared" si="16"/>
        <v>9475.5208333333321</v>
      </c>
      <c r="U31" s="45">
        <f t="shared" si="16"/>
        <v>9475.5208333333321</v>
      </c>
      <c r="V31" s="45">
        <f t="shared" si="16"/>
        <v>9475.5208333333321</v>
      </c>
      <c r="W31" s="45">
        <f t="shared" si="16"/>
        <v>9475.5208333333321</v>
      </c>
      <c r="X31" s="45">
        <f t="shared" si="16"/>
        <v>9475.5208333333321</v>
      </c>
      <c r="Y31" s="45">
        <f t="shared" si="16"/>
        <v>9475.5208333333321</v>
      </c>
      <c r="Z31" s="45">
        <f t="shared" si="16"/>
        <v>9475.5208333333321</v>
      </c>
      <c r="AA31" s="45">
        <f t="shared" si="16"/>
        <v>9475.5208333333321</v>
      </c>
      <c r="AB31" s="45">
        <f t="shared" si="16"/>
        <v>9475.5208333333321</v>
      </c>
      <c r="AC31" s="45">
        <f t="shared" si="16"/>
        <v>9475.5208333333321</v>
      </c>
      <c r="AD31" s="33">
        <f>'Cashflow Workings'!AD31</f>
        <v>9475.5208333333321</v>
      </c>
      <c r="AE31" s="33">
        <f>'Cashflow Workings'!AE31</f>
        <v>9475.5208333333321</v>
      </c>
      <c r="AF31" s="33">
        <f>'Cashflow Workings'!AF31</f>
        <v>9475.5208333333321</v>
      </c>
      <c r="AG31" s="33">
        <f>'Cashflow Workings'!AG31</f>
        <v>9475.5208333333321</v>
      </c>
      <c r="AH31" s="33">
        <f>'Cashflow Workings'!AH31</f>
        <v>9475.5208333333321</v>
      </c>
      <c r="AI31" s="33">
        <f>'Cashflow Workings'!AI31</f>
        <v>9475.5208333333321</v>
      </c>
      <c r="AJ31" s="33">
        <f>'Cashflow Workings'!AJ31</f>
        <v>9475.5208333333321</v>
      </c>
      <c r="AK31" s="33">
        <f>'Cashflow Workings'!AK31</f>
        <v>9475.5208333333321</v>
      </c>
      <c r="AL31" s="33">
        <f>'Cashflow Workings'!AL31</f>
        <v>9475.5208333333321</v>
      </c>
      <c r="AM31" s="33">
        <f>'Cashflow Workings'!AM31</f>
        <v>9475.5208333333321</v>
      </c>
      <c r="AN31" s="33">
        <f>'Cashflow Workings'!AN31</f>
        <v>9475.5208333333321</v>
      </c>
      <c r="AO31" s="33">
        <f>'Cashflow Workings'!AO31</f>
        <v>9475.5208333333321</v>
      </c>
      <c r="AP31" s="45">
        <f t="shared" ref="AP31:BA31" si="17">AP30*0.175</f>
        <v>9475.5208333333321</v>
      </c>
      <c r="AQ31" s="45">
        <f t="shared" si="17"/>
        <v>9475.5208333333321</v>
      </c>
      <c r="AR31" s="45">
        <f t="shared" si="17"/>
        <v>9475.5208333333321</v>
      </c>
      <c r="AS31" s="45">
        <f t="shared" si="17"/>
        <v>9475.5208333333321</v>
      </c>
      <c r="AT31" s="45">
        <f t="shared" si="17"/>
        <v>9475.5208333333321</v>
      </c>
      <c r="AU31" s="45">
        <f t="shared" si="17"/>
        <v>9475.5208333333321</v>
      </c>
      <c r="AV31" s="45">
        <f t="shared" si="17"/>
        <v>9475.5208333333321</v>
      </c>
      <c r="AW31" s="45">
        <f t="shared" si="17"/>
        <v>9475.5208333333321</v>
      </c>
      <c r="AX31" s="45">
        <f t="shared" si="17"/>
        <v>9475.5208333333321</v>
      </c>
      <c r="AY31" s="45">
        <f t="shared" si="17"/>
        <v>9475.5208333333321</v>
      </c>
      <c r="AZ31" s="45">
        <f t="shared" si="17"/>
        <v>9475.5208333333321</v>
      </c>
      <c r="BA31" s="45">
        <f t="shared" si="17"/>
        <v>9475.5208333333321</v>
      </c>
      <c r="BC31" s="2">
        <f t="shared" si="7"/>
        <v>113706.24999999996</v>
      </c>
    </row>
    <row r="32" spans="1:55" ht="12.75" customHeight="1" x14ac:dyDescent="0.3">
      <c r="B32" s="61" t="s">
        <v>49</v>
      </c>
      <c r="C32" s="45">
        <f>'P_L Workings'!C163</f>
        <v>0</v>
      </c>
      <c r="D32" s="45">
        <f>'P_L Workings'!D163</f>
        <v>0</v>
      </c>
      <c r="E32" s="45">
        <f>'P_L Workings'!E163</f>
        <v>16000</v>
      </c>
      <c r="F32" s="45">
        <f>'P_L Workings'!F163</f>
        <v>66285.71428571429</v>
      </c>
      <c r="G32" s="45">
        <f>'P_L Workings'!G163</f>
        <v>70857.142857142855</v>
      </c>
      <c r="H32" s="45">
        <f>'P_L Workings'!H163</f>
        <v>68571.42857142858</v>
      </c>
      <c r="I32" s="45">
        <f>'P_L Workings'!I163</f>
        <v>70857.142857142855</v>
      </c>
      <c r="J32" s="45">
        <f>'P_L Workings'!J163</f>
        <v>70857.142857142855</v>
      </c>
      <c r="K32" s="45">
        <f>'P_L Workings'!K163</f>
        <v>68571.42857142858</v>
      </c>
      <c r="L32" s="45">
        <f>'P_L Workings'!L163</f>
        <v>70857.142857142855</v>
      </c>
      <c r="M32" s="45">
        <f>'P_L Workings'!M163</f>
        <v>66285.71428571429</v>
      </c>
      <c r="N32" s="45">
        <f>'P_L Workings'!N163</f>
        <v>70857.142857142855</v>
      </c>
      <c r="O32" s="45">
        <f>'P_L Workings'!O163</f>
        <v>43428.571428571428</v>
      </c>
      <c r="P32" s="45">
        <f>'P_L Workings'!P163</f>
        <v>61714.285714285717</v>
      </c>
      <c r="Q32" s="45">
        <f>'P_L Workings'!Q163</f>
        <v>70857.142857142855</v>
      </c>
      <c r="R32" s="45">
        <f>'P_L Workings'!R163</f>
        <v>66285.71428571429</v>
      </c>
      <c r="S32" s="45">
        <f>'P_L Workings'!S163</f>
        <v>70857.142857142855</v>
      </c>
      <c r="T32" s="45">
        <f>'P_L Workings'!T163</f>
        <v>68571.42857142858</v>
      </c>
      <c r="U32" s="45">
        <f>'P_L Workings'!U163</f>
        <v>70857.142857142855</v>
      </c>
      <c r="V32" s="45">
        <f>'P_L Workings'!V163</f>
        <v>70857.142857142855</v>
      </c>
      <c r="W32" s="45">
        <f>'P_L Workings'!W163</f>
        <v>68571.42857142858</v>
      </c>
      <c r="X32" s="45">
        <f>'P_L Workings'!X163</f>
        <v>70857.142857142855</v>
      </c>
      <c r="Y32" s="45">
        <f>'P_L Workings'!Y163</f>
        <v>66285.71428571429</v>
      </c>
      <c r="Z32" s="45">
        <f>'P_L Workings'!Z163</f>
        <v>70857.142857142855</v>
      </c>
      <c r="AA32" s="45">
        <f>'P_L Workings'!AA163</f>
        <v>41142.857142857145</v>
      </c>
      <c r="AB32" s="45">
        <f>'P_L Workings'!AB163</f>
        <v>64000</v>
      </c>
      <c r="AC32" s="45">
        <f>'P_L Workings'!AC163</f>
        <v>70857.142857142855</v>
      </c>
      <c r="AD32" s="33">
        <f>'Cashflow Workings'!AD32</f>
        <v>66285.71428571429</v>
      </c>
      <c r="AE32" s="33">
        <f>'Cashflow Workings'!AE32</f>
        <v>70857.142857142855</v>
      </c>
      <c r="AF32" s="33">
        <f>'Cashflow Workings'!AF32</f>
        <v>68571.42857142858</v>
      </c>
      <c r="AG32" s="33">
        <f>'Cashflow Workings'!AG32</f>
        <v>70857.142857142855</v>
      </c>
      <c r="AH32" s="33">
        <f>'Cashflow Workings'!AH32</f>
        <v>70857.142857142855</v>
      </c>
      <c r="AI32" s="33">
        <f>'Cashflow Workings'!AI32</f>
        <v>68571.42857142858</v>
      </c>
      <c r="AJ32" s="33">
        <f>'Cashflow Workings'!AJ32</f>
        <v>70857.142857142855</v>
      </c>
      <c r="AK32" s="33">
        <f>'Cashflow Workings'!AK32</f>
        <v>66285.71428571429</v>
      </c>
      <c r="AL32" s="33">
        <f>'Cashflow Workings'!AL32</f>
        <v>70857.142857142855</v>
      </c>
      <c r="AM32" s="33">
        <f>'Cashflow Workings'!AM32</f>
        <v>43428.571428571428</v>
      </c>
      <c r="AN32" s="33">
        <f>'Cashflow Workings'!AN32</f>
        <v>61714.285714285717</v>
      </c>
      <c r="AO32" s="33">
        <f>'Cashflow Workings'!AO32</f>
        <v>70857.142857142855</v>
      </c>
      <c r="AP32" s="45">
        <f>'P_L Workings'!AP163</f>
        <v>66285.71428571429</v>
      </c>
      <c r="AQ32" s="45">
        <f>'P_L Workings'!AQ163</f>
        <v>70857.142857142855</v>
      </c>
      <c r="AR32" s="45">
        <f>'P_L Workings'!AR163</f>
        <v>68571.42857142858</v>
      </c>
      <c r="AS32" s="45">
        <f>'P_L Workings'!AS163</f>
        <v>70857.142857142855</v>
      </c>
      <c r="AT32" s="45">
        <f>'P_L Workings'!AT163</f>
        <v>70857.142857142855</v>
      </c>
      <c r="AU32" s="45">
        <f>'P_L Workings'!AU163</f>
        <v>68571.42857142858</v>
      </c>
      <c r="AV32" s="45">
        <f>'P_L Workings'!AV163</f>
        <v>70857.142857142855</v>
      </c>
      <c r="AW32" s="45">
        <f>'P_L Workings'!AW163</f>
        <v>66285.71428571429</v>
      </c>
      <c r="AX32" s="45">
        <f>'P_L Workings'!AX163</f>
        <v>70857.142857142855</v>
      </c>
      <c r="AY32" s="45">
        <f>'P_L Workings'!AY163</f>
        <v>43428.571428571428</v>
      </c>
      <c r="AZ32" s="45">
        <f>'P_L Workings'!AZ163</f>
        <v>61714.285714285717</v>
      </c>
      <c r="BA32" s="45">
        <f>'P_L Workings'!BA163</f>
        <v>70857.142857142855</v>
      </c>
      <c r="BC32" s="2">
        <f t="shared" si="7"/>
        <v>800000</v>
      </c>
    </row>
    <row r="33" spans="1:55" ht="12.75" customHeight="1" x14ac:dyDescent="0.3">
      <c r="B33" s="61" t="s">
        <v>173</v>
      </c>
      <c r="C33" s="45">
        <f>'P_L Workings'!C170</f>
        <v>0</v>
      </c>
      <c r="D33" s="45">
        <f>'P_L Workings'!D170</f>
        <v>0</v>
      </c>
      <c r="E33" s="45">
        <f>'P_L Workings'!E170</f>
        <v>0</v>
      </c>
      <c r="F33" s="45">
        <f>'P_L Workings'!F170</f>
        <v>29708.333333335431</v>
      </c>
      <c r="G33" s="45">
        <f>'P_L Workings'!G170</f>
        <v>21597.315392591918</v>
      </c>
      <c r="H33" s="45">
        <f>'P_L Workings'!H170</f>
        <v>20982.605904540091</v>
      </c>
      <c r="I33" s="45">
        <f>'P_L Workings'!I170</f>
        <v>20364.179675089181</v>
      </c>
      <c r="J33" s="45">
        <f>'P_L Workings'!J170</f>
        <v>19742.011388057086</v>
      </c>
      <c r="K33" s="45">
        <f>'P_L Workings'!K170</f>
        <v>19116.075603811372</v>
      </c>
      <c r="L33" s="45">
        <f>'P_L Workings'!L170</f>
        <v>18486.34675791812</v>
      </c>
      <c r="M33" s="45">
        <f>'P_L Workings'!M170</f>
        <v>17852.799159791961</v>
      </c>
      <c r="N33" s="45">
        <f>'P_L Workings'!N170</f>
        <v>17215.406991347209</v>
      </c>
      <c r="O33" s="45">
        <f>'P_L Workings'!O170</f>
        <v>16574.144305649879</v>
      </c>
      <c r="P33" s="45">
        <f>'P_L Workings'!P170</f>
        <v>15928.985025570473</v>
      </c>
      <c r="Q33" s="45">
        <f>'P_L Workings'!Q170</f>
        <v>15279.902942437375</v>
      </c>
      <c r="R33" s="45">
        <f>'P_L Workings'!R170</f>
        <v>14626.871714690722</v>
      </c>
      <c r="S33" s="45">
        <f>'P_L Workings'!S170</f>
        <v>13969.864866536578</v>
      </c>
      <c r="T33" s="45">
        <f>'P_L Workings'!T170</f>
        <v>13308.855786601296</v>
      </c>
      <c r="U33" s="45">
        <f>'P_L Workings'!U170</f>
        <v>12643.817726585916</v>
      </c>
      <c r="V33" s="45">
        <f>'P_L Workings'!V170</f>
        <v>11974.723799920443</v>
      </c>
      <c r="W33" s="45">
        <f>'P_L Workings'!W170</f>
        <v>11301.546980417897</v>
      </c>
      <c r="X33" s="45">
        <f>'P_L Workings'!X170</f>
        <v>10624.260100927975</v>
      </c>
      <c r="Y33" s="45">
        <f>'P_L Workings'!Y170</f>
        <v>9942.8358519901758</v>
      </c>
      <c r="Z33" s="45">
        <f>'P_L Workings'!Z170</f>
        <v>9257.2467804863045</v>
      </c>
      <c r="AA33" s="45">
        <f>'P_L Workings'!AA170</f>
        <v>8567.4652882921564</v>
      </c>
      <c r="AB33" s="45">
        <f>'P_L Workings'!AB170</f>
        <v>7873.4636309283087</v>
      </c>
      <c r="AC33" s="45">
        <f>'P_L Workings'!AC170</f>
        <v>7175.2139162098429</v>
      </c>
      <c r="AD33" s="33">
        <f>'Cashflow Workings'!AD33</f>
        <v>6472.6881028948937</v>
      </c>
      <c r="AE33" s="33">
        <f>'Cashflow Workings'!AE33</f>
        <v>6468.9766345133121</v>
      </c>
      <c r="AF33" s="33">
        <f>'Cashflow Workings'!AF33</f>
        <v>6465.32702393809</v>
      </c>
      <c r="AG33" s="33">
        <f>'Cashflow Workings'!AG33</f>
        <v>6461.7382402057883</v>
      </c>
      <c r="AH33" s="33">
        <f>'Cashflow Workings'!AH33</f>
        <v>6458.2092695356923</v>
      </c>
      <c r="AI33" s="33">
        <f>'Cashflow Workings'!AI33</f>
        <v>6454.7391150434305</v>
      </c>
      <c r="AJ33" s="33">
        <f>'Cashflow Workings'!AJ33</f>
        <v>6451.3267964593733</v>
      </c>
      <c r="AK33" s="33">
        <f>'Cashflow Workings'!AK33</f>
        <v>6447.9713498517167</v>
      </c>
      <c r="AL33" s="33">
        <f>'Cashflow Workings'!AL33</f>
        <v>6444.6718273541883</v>
      </c>
      <c r="AM33" s="33">
        <f>'Cashflow Workings'!AM33</f>
        <v>6441.427296898285</v>
      </c>
      <c r="AN33" s="33">
        <f>'Cashflow Workings'!AN33</f>
        <v>6438.2368419499808</v>
      </c>
      <c r="AO33" s="33">
        <f>'Cashflow Workings'!AO33</f>
        <v>6435.0995612508141</v>
      </c>
      <c r="AP33" s="45">
        <f>'P_L Workings'!AP170</f>
        <v>6432.0145685633006</v>
      </c>
      <c r="AQ33" s="45">
        <f>'P_L Workings'!AQ170</f>
        <v>6428.9809924205792</v>
      </c>
      <c r="AR33" s="45">
        <f>'P_L Workings'!AR170</f>
        <v>6425.9979758802356</v>
      </c>
      <c r="AS33" s="45">
        <f>'P_L Workings'!AS170</f>
        <v>6423.0646762822316</v>
      </c>
      <c r="AT33" s="45">
        <f>'P_L Workings'!AT170</f>
        <v>6420.1802650108611</v>
      </c>
      <c r="AU33" s="45">
        <f>'P_L Workings'!AU170</f>
        <v>6417.3439272606802</v>
      </c>
      <c r="AV33" s="45">
        <f>'P_L Workings'!AV170</f>
        <v>6414.5548618063358</v>
      </c>
      <c r="AW33" s="45">
        <f>'P_L Workings'!AW170</f>
        <v>6411.8122807762302</v>
      </c>
      <c r="AX33" s="45">
        <f>'P_L Workings'!AX170</f>
        <v>6409.11540942996</v>
      </c>
      <c r="AY33" s="45">
        <f>'P_L Workings'!AY170</f>
        <v>6406.46348593946</v>
      </c>
      <c r="AZ33" s="45">
        <f>'P_L Workings'!AZ170</f>
        <v>6403.8557611738024</v>
      </c>
      <c r="BA33" s="45">
        <f>'P_L Workings'!BA170</f>
        <v>6401.2914984875724</v>
      </c>
      <c r="BC33" s="2">
        <f t="shared" si="7"/>
        <v>77440.412059895563</v>
      </c>
    </row>
    <row r="34" spans="1:55" ht="12.75" customHeight="1" x14ac:dyDescent="0.3">
      <c r="B34" s="61" t="s">
        <v>174</v>
      </c>
      <c r="C34" s="25">
        <f>'Bal Sheet Workings'!C10</f>
        <v>0</v>
      </c>
      <c r="D34" s="25">
        <f>'Bal Sheet Workings'!D10</f>
        <v>0</v>
      </c>
      <c r="E34" s="25">
        <f>'Bal Sheet Workings'!E10</f>
        <v>0</v>
      </c>
      <c r="F34" s="25">
        <f>'Bal Sheet Workings'!F10</f>
        <v>-333.33333333333331</v>
      </c>
      <c r="G34" s="25">
        <f>'Bal Sheet Workings'!G10</f>
        <v>-327.77777777777783</v>
      </c>
      <c r="H34" s="25">
        <f>'Bal Sheet Workings'!H10</f>
        <v>-322.31481481481484</v>
      </c>
      <c r="I34" s="25">
        <f>'Bal Sheet Workings'!I10</f>
        <v>-316.94290123456796</v>
      </c>
      <c r="J34" s="25">
        <f>'Bal Sheet Workings'!J10</f>
        <v>-311.66051954732512</v>
      </c>
      <c r="K34" s="25">
        <f>'Bal Sheet Workings'!K10</f>
        <v>-306.46617755486977</v>
      </c>
      <c r="L34" s="25">
        <f>'Bal Sheet Workings'!L10</f>
        <v>-301.35840792895527</v>
      </c>
      <c r="M34" s="25">
        <f>'Bal Sheet Workings'!M10</f>
        <v>-296.33576779680601</v>
      </c>
      <c r="N34" s="25">
        <f>'Bal Sheet Workings'!N10</f>
        <v>-291.39683833352592</v>
      </c>
      <c r="O34" s="25">
        <f>'Bal Sheet Workings'!O10</f>
        <v>-286.54022436130049</v>
      </c>
      <c r="P34" s="25">
        <f>'Bal Sheet Workings'!P10</f>
        <v>-281.76455395527881</v>
      </c>
      <c r="Q34" s="25">
        <f>'Bal Sheet Workings'!Q10</f>
        <v>-277.06847805602416</v>
      </c>
      <c r="R34" s="25">
        <f>'Bal Sheet Workings'!R10</f>
        <v>-272.45067008842381</v>
      </c>
      <c r="S34" s="25">
        <f>'Bal Sheet Workings'!S10</f>
        <v>-267.90982558695003</v>
      </c>
      <c r="T34" s="25">
        <f>'Bal Sheet Workings'!T10</f>
        <v>-263.44466182716752</v>
      </c>
      <c r="U34" s="25">
        <f>'Bal Sheet Workings'!U10</f>
        <v>-259.05391746338142</v>
      </c>
      <c r="V34" s="25">
        <f>'Bal Sheet Workings'!V10</f>
        <v>-254.73635217232507</v>
      </c>
      <c r="W34" s="25">
        <f>'Bal Sheet Workings'!W10</f>
        <v>-250.49074630278633</v>
      </c>
      <c r="X34" s="25">
        <f>'Bal Sheet Workings'!X10</f>
        <v>-246.31590053107323</v>
      </c>
      <c r="Y34" s="25">
        <f>'Bal Sheet Workings'!Y10</f>
        <v>-242.21063552222199</v>
      </c>
      <c r="Z34" s="25">
        <f>'Bal Sheet Workings'!Z10</f>
        <v>-238.17379159685163</v>
      </c>
      <c r="AA34" s="25">
        <f>'Bal Sheet Workings'!AA10</f>
        <v>-234.20422840357074</v>
      </c>
      <c r="AB34" s="25">
        <f>'Bal Sheet Workings'!AB10</f>
        <v>-230.30082459684459</v>
      </c>
      <c r="AC34" s="25">
        <f>'Bal Sheet Workings'!AC10</f>
        <v>-226.46247752023052</v>
      </c>
      <c r="AD34" s="33">
        <f>'Cashflow Workings'!AD34</f>
        <v>-222.68810289489332</v>
      </c>
      <c r="AE34" s="33">
        <f>'Cashflow Workings'!AE34</f>
        <v>-218.97663451331178</v>
      </c>
      <c r="AF34" s="33">
        <f>'Cashflow Workings'!AF34</f>
        <v>-215.32702393808992</v>
      </c>
      <c r="AG34" s="33">
        <f>'Cashflow Workings'!AG34</f>
        <v>-211.73824020578843</v>
      </c>
      <c r="AH34" s="33">
        <f>'Cashflow Workings'!AH34</f>
        <v>-208.20926953569196</v>
      </c>
      <c r="AI34" s="33">
        <f>'Cashflow Workings'!AI34</f>
        <v>-204.73911504343042</v>
      </c>
      <c r="AJ34" s="33">
        <f>'Cashflow Workings'!AJ34</f>
        <v>-201.32679645937324</v>
      </c>
      <c r="AK34" s="33">
        <f>'Cashflow Workings'!AK34</f>
        <v>-197.97134985171704</v>
      </c>
      <c r="AL34" s="33">
        <f>'Cashflow Workings'!AL34</f>
        <v>-194.67182735418839</v>
      </c>
      <c r="AM34" s="33">
        <f>'Cashflow Workings'!AM34</f>
        <v>-191.42729689828528</v>
      </c>
      <c r="AN34" s="33">
        <f>'Cashflow Workings'!AN34</f>
        <v>-188.23684194998052</v>
      </c>
      <c r="AO34" s="33">
        <f>'Cashflow Workings'!AO34</f>
        <v>-185.09956125081419</v>
      </c>
      <c r="AP34" s="25">
        <f>'Bal Sheet Workings'!AP10</f>
        <v>-182.0145685633006</v>
      </c>
      <c r="AQ34" s="25">
        <f>'Bal Sheet Workings'!AQ10</f>
        <v>-178.98099242057893</v>
      </c>
      <c r="AR34" s="25">
        <f>'Bal Sheet Workings'!AR10</f>
        <v>-175.997975880236</v>
      </c>
      <c r="AS34" s="25">
        <f>'Bal Sheet Workings'!AS10</f>
        <v>-173.06467628223206</v>
      </c>
      <c r="AT34" s="25">
        <f>'Bal Sheet Workings'!AT10</f>
        <v>-170.18026501086149</v>
      </c>
      <c r="AU34" s="25">
        <f>'Bal Sheet Workings'!AU10</f>
        <v>-167.34392726068046</v>
      </c>
      <c r="AV34" s="25">
        <f>'Bal Sheet Workings'!AV10</f>
        <v>-164.55486180633577</v>
      </c>
      <c r="AW34" s="25">
        <f>'Bal Sheet Workings'!AW10</f>
        <v>-161.81228077623018</v>
      </c>
      <c r="AX34" s="25">
        <f>'Bal Sheet Workings'!AX10</f>
        <v>-159.11540942995967</v>
      </c>
      <c r="AY34" s="25">
        <f>'Bal Sheet Workings'!AY10</f>
        <v>-156.46348593946036</v>
      </c>
      <c r="AZ34" s="25">
        <f>'Bal Sheet Workings'!AZ10</f>
        <v>-153.85576117380268</v>
      </c>
      <c r="BA34" s="25">
        <f>'Bal Sheet Workings'!BA10</f>
        <v>-151.29149848757262</v>
      </c>
      <c r="BC34" s="2">
        <f t="shared" si="7"/>
        <v>-2440.4120598955642</v>
      </c>
    </row>
    <row r="35" spans="1:55" ht="12.75" customHeight="1" x14ac:dyDescent="0.3">
      <c r="B35" s="61" t="s">
        <v>175</v>
      </c>
      <c r="C35" s="45">
        <f>300000</f>
        <v>300000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33">
        <f>'Cashflow Workings'!AD35</f>
        <v>0</v>
      </c>
      <c r="AE35" s="33">
        <f>'Cashflow Workings'!AE35</f>
        <v>0</v>
      </c>
      <c r="AF35" s="33">
        <f>'Cashflow Workings'!AF35</f>
        <v>0</v>
      </c>
      <c r="AG35" s="33">
        <f>'Cashflow Workings'!AG35</f>
        <v>0</v>
      </c>
      <c r="AH35" s="33">
        <f>'Cashflow Workings'!AH35</f>
        <v>0</v>
      </c>
      <c r="AI35" s="33">
        <f>'Cashflow Workings'!AI35</f>
        <v>0</v>
      </c>
      <c r="AJ35" s="33">
        <f>'Cashflow Workings'!AJ35</f>
        <v>0</v>
      </c>
      <c r="AK35" s="33">
        <f>'Cashflow Workings'!AK35</f>
        <v>0</v>
      </c>
      <c r="AL35" s="33">
        <f>'Cashflow Workings'!AL35</f>
        <v>0</v>
      </c>
      <c r="AM35" s="33">
        <f>'Cashflow Workings'!AM35</f>
        <v>0</v>
      </c>
      <c r="AN35" s="33">
        <f>'Cashflow Workings'!AN35</f>
        <v>0</v>
      </c>
      <c r="AO35" s="33">
        <f>'Cashflow Workings'!AO35</f>
        <v>0</v>
      </c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C35" s="2">
        <f t="shared" si="7"/>
        <v>0</v>
      </c>
    </row>
    <row r="36" spans="1:55" ht="12.75" customHeight="1" x14ac:dyDescent="0.3">
      <c r="B36" s="61" t="s">
        <v>176</v>
      </c>
      <c r="C36" s="64">
        <f t="shared" ref="C36:AC36" si="18">C35*0.175</f>
        <v>52500</v>
      </c>
      <c r="D36" s="64">
        <f t="shared" si="18"/>
        <v>0</v>
      </c>
      <c r="E36" s="64">
        <f t="shared" si="18"/>
        <v>0</v>
      </c>
      <c r="F36" s="64">
        <f t="shared" si="18"/>
        <v>0</v>
      </c>
      <c r="G36" s="64">
        <f t="shared" si="18"/>
        <v>0</v>
      </c>
      <c r="H36" s="64">
        <f t="shared" si="18"/>
        <v>0</v>
      </c>
      <c r="I36" s="64">
        <f t="shared" si="18"/>
        <v>0</v>
      </c>
      <c r="J36" s="64">
        <f t="shared" si="18"/>
        <v>0</v>
      </c>
      <c r="K36" s="64">
        <f t="shared" si="18"/>
        <v>0</v>
      </c>
      <c r="L36" s="64">
        <f t="shared" si="18"/>
        <v>0</v>
      </c>
      <c r="M36" s="64">
        <f t="shared" si="18"/>
        <v>0</v>
      </c>
      <c r="N36" s="64">
        <f t="shared" si="18"/>
        <v>0</v>
      </c>
      <c r="O36" s="64">
        <f t="shared" si="18"/>
        <v>0</v>
      </c>
      <c r="P36" s="64">
        <f t="shared" si="18"/>
        <v>0</v>
      </c>
      <c r="Q36" s="64">
        <f t="shared" si="18"/>
        <v>0</v>
      </c>
      <c r="R36" s="64">
        <f t="shared" si="18"/>
        <v>0</v>
      </c>
      <c r="S36" s="64">
        <f t="shared" si="18"/>
        <v>0</v>
      </c>
      <c r="T36" s="64">
        <f t="shared" si="18"/>
        <v>0</v>
      </c>
      <c r="U36" s="64">
        <f t="shared" si="18"/>
        <v>0</v>
      </c>
      <c r="V36" s="64">
        <f t="shared" si="18"/>
        <v>0</v>
      </c>
      <c r="W36" s="64">
        <f t="shared" si="18"/>
        <v>0</v>
      </c>
      <c r="X36" s="64">
        <f t="shared" si="18"/>
        <v>0</v>
      </c>
      <c r="Y36" s="64">
        <f t="shared" si="18"/>
        <v>0</v>
      </c>
      <c r="Z36" s="64">
        <f t="shared" si="18"/>
        <v>0</v>
      </c>
      <c r="AA36" s="64">
        <f t="shared" si="18"/>
        <v>0</v>
      </c>
      <c r="AB36" s="64">
        <f t="shared" si="18"/>
        <v>0</v>
      </c>
      <c r="AC36" s="64">
        <f t="shared" si="18"/>
        <v>0</v>
      </c>
      <c r="AD36" s="68">
        <f>'Cashflow Workings'!AD36</f>
        <v>0</v>
      </c>
      <c r="AE36" s="68">
        <f>'Cashflow Workings'!AE36</f>
        <v>0</v>
      </c>
      <c r="AF36" s="68">
        <f>'Cashflow Workings'!AF36</f>
        <v>0</v>
      </c>
      <c r="AG36" s="68">
        <f>'Cashflow Workings'!AG36</f>
        <v>0</v>
      </c>
      <c r="AH36" s="68">
        <f>'Cashflow Workings'!AH36</f>
        <v>0</v>
      </c>
      <c r="AI36" s="68">
        <f>'Cashflow Workings'!AI36</f>
        <v>0</v>
      </c>
      <c r="AJ36" s="68">
        <f>'Cashflow Workings'!AJ36</f>
        <v>0</v>
      </c>
      <c r="AK36" s="68">
        <f>'Cashflow Workings'!AK36</f>
        <v>0</v>
      </c>
      <c r="AL36" s="68">
        <f>'Cashflow Workings'!AL36</f>
        <v>0</v>
      </c>
      <c r="AM36" s="68">
        <f>'Cashflow Workings'!AM36</f>
        <v>0</v>
      </c>
      <c r="AN36" s="68">
        <f>'Cashflow Workings'!AN36</f>
        <v>0</v>
      </c>
      <c r="AO36" s="68">
        <f>'Cashflow Workings'!AO36</f>
        <v>0</v>
      </c>
      <c r="AP36" s="64">
        <f t="shared" ref="AP36:BA36" si="19">AP35*0.175</f>
        <v>0</v>
      </c>
      <c r="AQ36" s="64">
        <f t="shared" si="19"/>
        <v>0</v>
      </c>
      <c r="AR36" s="64">
        <f t="shared" si="19"/>
        <v>0</v>
      </c>
      <c r="AS36" s="64">
        <f t="shared" si="19"/>
        <v>0</v>
      </c>
      <c r="AT36" s="64">
        <f t="shared" si="19"/>
        <v>0</v>
      </c>
      <c r="AU36" s="64">
        <f t="shared" si="19"/>
        <v>0</v>
      </c>
      <c r="AV36" s="64">
        <f t="shared" si="19"/>
        <v>0</v>
      </c>
      <c r="AW36" s="64">
        <f t="shared" si="19"/>
        <v>0</v>
      </c>
      <c r="AX36" s="64">
        <f t="shared" si="19"/>
        <v>0</v>
      </c>
      <c r="AY36" s="64">
        <f t="shared" si="19"/>
        <v>0</v>
      </c>
      <c r="AZ36" s="64">
        <f t="shared" si="19"/>
        <v>0</v>
      </c>
      <c r="BA36" s="64">
        <f t="shared" si="19"/>
        <v>0</v>
      </c>
      <c r="BC36" s="18">
        <f t="shared" si="7"/>
        <v>0</v>
      </c>
    </row>
    <row r="37" spans="1:55" ht="12.75" customHeight="1" x14ac:dyDescent="0.3">
      <c r="B37" s="61"/>
      <c r="C37" s="66">
        <f t="shared" ref="C37:AH37" si="20">SUM(C21:C36)</f>
        <v>1352500</v>
      </c>
      <c r="D37" s="66">
        <f t="shared" si="20"/>
        <v>0</v>
      </c>
      <c r="E37" s="66">
        <f t="shared" si="20"/>
        <v>1090739.1506007325</v>
      </c>
      <c r="F37" s="66">
        <f t="shared" si="20"/>
        <v>1576278.7668333354</v>
      </c>
      <c r="G37" s="66">
        <f t="shared" si="20"/>
        <v>1628205.6524481473</v>
      </c>
      <c r="H37" s="66">
        <f t="shared" si="20"/>
        <v>1597580.2319230582</v>
      </c>
      <c r="I37" s="66">
        <f t="shared" si="20"/>
        <v>1626983.3516071877</v>
      </c>
      <c r="J37" s="66">
        <f t="shared" si="20"/>
        <v>1626366.4657018429</v>
      </c>
      <c r="K37" s="66">
        <f t="shared" si="20"/>
        <v>1595729.5502595895</v>
      </c>
      <c r="L37" s="66">
        <f t="shared" si="20"/>
        <v>1625121.1031833224</v>
      </c>
      <c r="M37" s="66">
        <f t="shared" si="20"/>
        <v>1564460.2302253286</v>
      </c>
      <c r="N37" s="66">
        <f t="shared" si="20"/>
        <v>1623860.1249863468</v>
      </c>
      <c r="O37" s="66">
        <f t="shared" si="20"/>
        <v>1263029.6309146218</v>
      </c>
      <c r="P37" s="66">
        <f t="shared" si="20"/>
        <v>1502518.6393049485</v>
      </c>
      <c r="Q37" s="66">
        <f t="shared" si="20"/>
        <v>1621938.9492977145</v>
      </c>
      <c r="R37" s="66">
        <f t="shared" si="20"/>
        <v>1561258.1878779356</v>
      </c>
      <c r="S37" s="66">
        <f t="shared" si="20"/>
        <v>1620638.0698742827</v>
      </c>
      <c r="T37" s="66">
        <f t="shared" si="20"/>
        <v>1589965.3519581072</v>
      </c>
      <c r="U37" s="66">
        <f t="shared" si="20"/>
        <v>1619320.8786424557</v>
      </c>
      <c r="V37" s="66">
        <f t="shared" si="20"/>
        <v>1618656.1022810813</v>
      </c>
      <c r="W37" s="66">
        <f t="shared" si="20"/>
        <v>1587970.997067448</v>
      </c>
      <c r="X37" s="66">
        <f t="shared" si="20"/>
        <v>1617314.0590337298</v>
      </c>
      <c r="Y37" s="66">
        <f t="shared" si="20"/>
        <v>1556604.3920498013</v>
      </c>
      <c r="Z37" s="66">
        <f t="shared" si="20"/>
        <v>1615955.1878222225</v>
      </c>
      <c r="AA37" s="66">
        <f t="shared" si="20"/>
        <v>1225059.1138932218</v>
      </c>
      <c r="AB37" s="66">
        <f t="shared" si="20"/>
        <v>1524530.7556396646</v>
      </c>
      <c r="AC37" s="66">
        <f t="shared" si="20"/>
        <v>1613884.8662720225</v>
      </c>
      <c r="AD37" s="66">
        <f t="shared" si="20"/>
        <v>1553153.7668333333</v>
      </c>
      <c r="AE37" s="66">
        <f t="shared" si="20"/>
        <v>1613186.1148333331</v>
      </c>
      <c r="AF37" s="66">
        <f t="shared" si="20"/>
        <v>1583169.9408333329</v>
      </c>
      <c r="AG37" s="66">
        <f t="shared" si="20"/>
        <v>1613186.1148333331</v>
      </c>
      <c r="AH37" s="66">
        <f t="shared" si="20"/>
        <v>1613186.1148333331</v>
      </c>
      <c r="AI37" s="66">
        <f t="shared" ref="AI37:BA37" si="21">SUM(AI21:AI36)</f>
        <v>1583169.9408333329</v>
      </c>
      <c r="AJ37" s="66">
        <f t="shared" si="21"/>
        <v>1613186.1148333331</v>
      </c>
      <c r="AK37" s="66">
        <f t="shared" si="21"/>
        <v>1553153.7668333333</v>
      </c>
      <c r="AL37" s="66">
        <f t="shared" si="21"/>
        <v>1613186.1148333331</v>
      </c>
      <c r="AM37" s="66">
        <f t="shared" si="21"/>
        <v>1252992.0268333331</v>
      </c>
      <c r="AN37" s="66">
        <f t="shared" si="21"/>
        <v>1493121.4188333333</v>
      </c>
      <c r="AO37" s="66">
        <f t="shared" si="21"/>
        <v>1613186.1148333331</v>
      </c>
      <c r="AP37" s="66">
        <f t="shared" si="21"/>
        <v>1553153.7668333333</v>
      </c>
      <c r="AQ37" s="66">
        <f t="shared" si="21"/>
        <v>1613186.1148333331</v>
      </c>
      <c r="AR37" s="66">
        <f t="shared" si="21"/>
        <v>1583169.9408333329</v>
      </c>
      <c r="AS37" s="66">
        <f t="shared" si="21"/>
        <v>1613186.1148333331</v>
      </c>
      <c r="AT37" s="66">
        <f t="shared" si="21"/>
        <v>1613186.1148333331</v>
      </c>
      <c r="AU37" s="66">
        <f t="shared" si="21"/>
        <v>1583169.9408333329</v>
      </c>
      <c r="AV37" s="66">
        <f t="shared" si="21"/>
        <v>1613186.1148333331</v>
      </c>
      <c r="AW37" s="66">
        <f t="shared" si="21"/>
        <v>1553153.7668333333</v>
      </c>
      <c r="AX37" s="66">
        <f t="shared" si="21"/>
        <v>1613186.1148333331</v>
      </c>
      <c r="AY37" s="66">
        <f t="shared" si="21"/>
        <v>1252992.0268333331</v>
      </c>
      <c r="AZ37" s="66">
        <f t="shared" si="21"/>
        <v>1493121.4188333333</v>
      </c>
      <c r="BA37" s="66">
        <f t="shared" si="21"/>
        <v>1613186.1148333331</v>
      </c>
      <c r="BC37" s="66">
        <f>SUM(BC21:BC36)</f>
        <v>18697877.549999997</v>
      </c>
    </row>
    <row r="38" spans="1:55" ht="12.75" customHeight="1" x14ac:dyDescent="0.25">
      <c r="B38" s="61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</row>
    <row r="39" spans="1:55" ht="12.75" customHeight="1" x14ac:dyDescent="0.3">
      <c r="B39" s="61" t="s">
        <v>177</v>
      </c>
      <c r="C39" s="45">
        <f>--'Bal Sheet Workings'!C9</f>
        <v>0</v>
      </c>
      <c r="D39" s="45">
        <f>-'Bal Sheet Workings'!D9</f>
        <v>0</v>
      </c>
      <c r="E39" s="45">
        <f>-'Bal Sheet Workings'!E9</f>
        <v>0</v>
      </c>
      <c r="F39" s="45">
        <f>-'Bal Sheet Workings'!F9</f>
        <v>-20000</v>
      </c>
      <c r="G39" s="45">
        <f>-'Bal Sheet Workings'!G9</f>
        <v>0</v>
      </c>
      <c r="H39" s="45">
        <f>-'Bal Sheet Workings'!H9</f>
        <v>0</v>
      </c>
      <c r="I39" s="45">
        <f>-'Bal Sheet Workings'!I9</f>
        <v>0</v>
      </c>
      <c r="J39" s="45">
        <f>-'Bal Sheet Workings'!J9</f>
        <v>0</v>
      </c>
      <c r="K39" s="45">
        <f>-'Bal Sheet Workings'!K9</f>
        <v>0</v>
      </c>
      <c r="L39" s="45">
        <f>-'Bal Sheet Workings'!L9</f>
        <v>0</v>
      </c>
      <c r="M39" s="45">
        <f>-'Bal Sheet Workings'!M9</f>
        <v>0</v>
      </c>
      <c r="N39" s="45">
        <f>-'Bal Sheet Workings'!N9</f>
        <v>0</v>
      </c>
      <c r="O39" s="45">
        <f>-'Bal Sheet Workings'!O9</f>
        <v>0</v>
      </c>
      <c r="P39" s="45">
        <f>-'Bal Sheet Workings'!P9</f>
        <v>0</v>
      </c>
      <c r="Q39" s="45">
        <f>-'Bal Sheet Workings'!Q9</f>
        <v>0</v>
      </c>
      <c r="R39" s="45">
        <f>-'Bal Sheet Workings'!R9</f>
        <v>0</v>
      </c>
      <c r="S39" s="45">
        <f>-'Bal Sheet Workings'!S9</f>
        <v>0</v>
      </c>
      <c r="T39" s="45">
        <f>-'Bal Sheet Workings'!T9</f>
        <v>0</v>
      </c>
      <c r="U39" s="45">
        <f>-'Bal Sheet Workings'!U9</f>
        <v>0</v>
      </c>
      <c r="V39" s="45">
        <f>-'Bal Sheet Workings'!V9</f>
        <v>0</v>
      </c>
      <c r="W39" s="45">
        <f>-'Bal Sheet Workings'!W9</f>
        <v>0</v>
      </c>
      <c r="X39" s="45">
        <f>-'Bal Sheet Workings'!X9</f>
        <v>0</v>
      </c>
      <c r="Y39" s="45">
        <f>-'Bal Sheet Workings'!Y9</f>
        <v>0</v>
      </c>
      <c r="Z39" s="45">
        <f>-'Bal Sheet Workings'!Z9</f>
        <v>0</v>
      </c>
      <c r="AA39" s="45">
        <f>-'Bal Sheet Workings'!AA9</f>
        <v>0</v>
      </c>
      <c r="AB39" s="45">
        <f>-'Bal Sheet Workings'!AB9</f>
        <v>0</v>
      </c>
      <c r="AC39" s="45">
        <f>-'Bal Sheet Workings'!AC9</f>
        <v>0</v>
      </c>
      <c r="AD39" s="45">
        <f>'Cashflow Workings'!AD39</f>
        <v>0</v>
      </c>
      <c r="AE39" s="45">
        <f>'Cashflow Workings'!AE39</f>
        <v>0</v>
      </c>
      <c r="AF39" s="45">
        <f>'Cashflow Workings'!AF39</f>
        <v>0</v>
      </c>
      <c r="AG39" s="45">
        <f>'Cashflow Workings'!AG39</f>
        <v>0</v>
      </c>
      <c r="AH39" s="45">
        <f>'Cashflow Workings'!AH39</f>
        <v>0</v>
      </c>
      <c r="AI39" s="45">
        <f>'Cashflow Workings'!AI39</f>
        <v>0</v>
      </c>
      <c r="AJ39" s="45">
        <f>'Cashflow Workings'!AJ39</f>
        <v>0</v>
      </c>
      <c r="AK39" s="45">
        <f>'Cashflow Workings'!AK39</f>
        <v>0</v>
      </c>
      <c r="AL39" s="45">
        <f>'Cashflow Workings'!AL39</f>
        <v>0</v>
      </c>
      <c r="AM39" s="45">
        <f>'Cashflow Workings'!AM39</f>
        <v>0</v>
      </c>
      <c r="AN39" s="45">
        <f>'Cashflow Workings'!AN39</f>
        <v>0</v>
      </c>
      <c r="AO39" s="45">
        <f>'Cashflow Workings'!AO39</f>
        <v>0</v>
      </c>
      <c r="AP39" s="45">
        <f>-'Bal Sheet Workings'!AP9</f>
        <v>0</v>
      </c>
      <c r="AQ39" s="45">
        <f>-'Bal Sheet Workings'!AQ9</f>
        <v>0</v>
      </c>
      <c r="AR39" s="45">
        <f>-'Bal Sheet Workings'!AR9</f>
        <v>0</v>
      </c>
      <c r="AS39" s="45">
        <f>-'Bal Sheet Workings'!AS9</f>
        <v>0</v>
      </c>
      <c r="AT39" s="45">
        <f>-'Bal Sheet Workings'!AT9</f>
        <v>0</v>
      </c>
      <c r="AU39" s="45">
        <f>-'Bal Sheet Workings'!AU9</f>
        <v>0</v>
      </c>
      <c r="AV39" s="45">
        <f>-'Bal Sheet Workings'!AV9</f>
        <v>0</v>
      </c>
      <c r="AW39" s="45">
        <f>-'Bal Sheet Workings'!AW9</f>
        <v>0</v>
      </c>
      <c r="AX39" s="45">
        <f>-'Bal Sheet Workings'!AX9</f>
        <v>0</v>
      </c>
      <c r="AY39" s="45">
        <f>-'Bal Sheet Workings'!AY9</f>
        <v>0</v>
      </c>
      <c r="AZ39" s="45">
        <f>-'Bal Sheet Workings'!AZ9</f>
        <v>0</v>
      </c>
      <c r="BA39" s="45">
        <f>-'Bal Sheet Workings'!BA9</f>
        <v>0</v>
      </c>
      <c r="BC39" s="2">
        <f>SUM(AD39:AO39)</f>
        <v>0</v>
      </c>
    </row>
    <row r="40" spans="1:55" ht="12.75" customHeight="1" x14ac:dyDescent="0.3">
      <c r="B40" s="61" t="s">
        <v>178</v>
      </c>
      <c r="F40" s="25">
        <f>-E61</f>
        <v>0</v>
      </c>
      <c r="I40" s="25">
        <f>-F61</f>
        <v>0</v>
      </c>
      <c r="L40" s="25">
        <f>-G61</f>
        <v>0</v>
      </c>
      <c r="O40" s="25">
        <f>-I61</f>
        <v>0</v>
      </c>
      <c r="R40" s="25">
        <f>-E62</f>
        <v>0</v>
      </c>
      <c r="U40" s="25">
        <f>-F62</f>
        <v>0</v>
      </c>
      <c r="X40" s="25">
        <f>-G62</f>
        <v>-35958.838163989312</v>
      </c>
      <c r="Z40" s="25">
        <f>-H62</f>
        <v>182615.72938461541</v>
      </c>
      <c r="AA40" s="25">
        <f>-I62</f>
        <v>-35958.838163989312</v>
      </c>
      <c r="AD40" s="45">
        <f>'Cashflow Workings'!AD40</f>
        <v>-35958.838163989312</v>
      </c>
      <c r="AE40" s="45">
        <f>'Cashflow Workings'!AE40</f>
        <v>0</v>
      </c>
      <c r="AF40" s="45">
        <f>'Cashflow Workings'!AF40</f>
        <v>0</v>
      </c>
      <c r="AG40" s="45">
        <f>'Cashflow Workings'!AG40</f>
        <v>-35958.838163989312</v>
      </c>
      <c r="AH40" s="45">
        <f>'Cashflow Workings'!AH40</f>
        <v>0</v>
      </c>
      <c r="AI40" s="45">
        <f>'Cashflow Workings'!AI40</f>
        <v>0</v>
      </c>
      <c r="AJ40" s="45">
        <f>'Cashflow Workings'!AJ40</f>
        <v>-125520.60026673059</v>
      </c>
      <c r="AK40" s="45">
        <f>'Cashflow Workings'!AK40</f>
        <v>0</v>
      </c>
      <c r="AL40" s="45">
        <f>'Cashflow Workings'!AL40</f>
        <v>0</v>
      </c>
      <c r="AM40" s="45">
        <f>'Cashflow Workings'!AM40</f>
        <v>-125520.60026673059</v>
      </c>
      <c r="AN40" s="45">
        <f>'Cashflow Workings'!AN40</f>
        <v>0</v>
      </c>
      <c r="AO40" s="45">
        <f>'Cashflow Workings'!AO40</f>
        <v>0</v>
      </c>
      <c r="AP40" s="25">
        <f>-E64</f>
        <v>-125520.60026673059</v>
      </c>
      <c r="AS40" s="25">
        <f>-F64</f>
        <v>-125520.60026673059</v>
      </c>
      <c r="AV40" s="25">
        <f>-G64</f>
        <v>-209262.86872050789</v>
      </c>
      <c r="AY40" s="25">
        <f>-I64</f>
        <v>-209262.86872050789</v>
      </c>
      <c r="BC40" s="2">
        <f>SUM(AD40:AO40)</f>
        <v>-322958.87686143978</v>
      </c>
    </row>
    <row r="41" spans="1:55" ht="12.75" customHeight="1" x14ac:dyDescent="0.3">
      <c r="B41" s="61" t="s">
        <v>179</v>
      </c>
      <c r="AD41" s="45">
        <f>'Cashflow Workings'!AD41</f>
        <v>0</v>
      </c>
      <c r="AE41" s="45">
        <f>'Cashflow Workings'!AE41</f>
        <v>0</v>
      </c>
      <c r="AF41" s="45">
        <f>'Cashflow Workings'!AF41</f>
        <v>0</v>
      </c>
      <c r="AG41" s="45">
        <f>'Cashflow Workings'!AG41</f>
        <v>0</v>
      </c>
      <c r="AH41" s="45">
        <f>'Cashflow Workings'!AH41</f>
        <v>0</v>
      </c>
      <c r="AI41" s="45">
        <f>'Cashflow Workings'!AI41</f>
        <v>0</v>
      </c>
      <c r="AJ41" s="45">
        <f>'Cashflow Workings'!AJ41</f>
        <v>0</v>
      </c>
      <c r="AK41" s="45">
        <f>'Cashflow Workings'!AK41</f>
        <v>0</v>
      </c>
      <c r="AL41" s="45">
        <f>'Cashflow Workings'!AL41</f>
        <v>0</v>
      </c>
      <c r="AM41" s="45">
        <f>'Cashflow Workings'!AM41</f>
        <v>0</v>
      </c>
      <c r="AN41" s="45">
        <f>'Cashflow Workings'!AN41</f>
        <v>0</v>
      </c>
      <c r="AO41" s="45">
        <f>'Cashflow Workings'!AO41</f>
        <v>0</v>
      </c>
      <c r="BC41" s="2">
        <f>SUM(AD41:AO41)</f>
        <v>0</v>
      </c>
    </row>
    <row r="42" spans="1:55" ht="12.75" customHeight="1" x14ac:dyDescent="0.3">
      <c r="B42" s="61" t="s">
        <v>180</v>
      </c>
      <c r="F42" s="25">
        <f>SUM(C55:E55)</f>
        <v>-134873.65979487181</v>
      </c>
      <c r="I42" s="25">
        <f>SUM(F55:H55)</f>
        <v>349893.53125</v>
      </c>
      <c r="L42" s="25">
        <f>SUM(I55:K55)</f>
        <v>411394.55074999994</v>
      </c>
      <c r="O42" s="25">
        <f>SUM(L55:N55)</f>
        <v>344023.87209999992</v>
      </c>
      <c r="R42" s="25">
        <f>SUM(O55:Q55)</f>
        <v>255306.64524999994</v>
      </c>
      <c r="U42" s="25">
        <f>SUM(R55:T55)</f>
        <v>398005.08250000002</v>
      </c>
      <c r="X42" s="25">
        <f>SUM(U55:W55)</f>
        <v>468733.17299999995</v>
      </c>
      <c r="AA42" s="25">
        <f>SUM(X55:Z55)</f>
        <v>390216.2855</v>
      </c>
      <c r="AD42" s="45">
        <f>'Cashflow Workings'!AD42</f>
        <v>304297.16374999995</v>
      </c>
      <c r="AE42" s="45">
        <f>'Cashflow Workings'!AE42</f>
        <v>0</v>
      </c>
      <c r="AF42" s="45">
        <f>'Cashflow Workings'!AF42</f>
        <v>0</v>
      </c>
      <c r="AG42" s="45">
        <f>'Cashflow Workings'!AG42</f>
        <v>464902.52499999991</v>
      </c>
      <c r="AH42" s="45">
        <f>'Cashflow Workings'!AH42</f>
        <v>0</v>
      </c>
      <c r="AI42" s="45">
        <f>'Cashflow Workings'!AI42</f>
        <v>0</v>
      </c>
      <c r="AJ42" s="45">
        <f>'Cashflow Workings'!AJ42</f>
        <v>527406.04424999992</v>
      </c>
      <c r="AK42" s="45">
        <f>'Cashflow Workings'!AK42</f>
        <v>0</v>
      </c>
      <c r="AL42" s="45">
        <f>'Cashflow Workings'!AL42</f>
        <v>0</v>
      </c>
      <c r="AM42" s="45">
        <f>'Cashflow Workings'!AM42</f>
        <v>446339.27549999999</v>
      </c>
      <c r="AN42" s="45">
        <f>'Cashflow Workings'!AN42</f>
        <v>0</v>
      </c>
      <c r="AO42" s="45">
        <f>'Cashflow Workings'!AO42</f>
        <v>0</v>
      </c>
      <c r="AP42" s="25">
        <f>SUM(AM55:AO55)</f>
        <v>332592.979375</v>
      </c>
      <c r="AS42" s="25">
        <f>SUM(AP55:AR55)</f>
        <v>489737.26762499986</v>
      </c>
      <c r="AV42" s="25">
        <f>SUM(AS55:AU55)</f>
        <v>548655.9879999999</v>
      </c>
      <c r="AY42" s="25">
        <f>SUM(AV55:AX55)</f>
        <v>467407.96737499989</v>
      </c>
      <c r="BC42" s="2">
        <f>SUM(AD42:AO42)</f>
        <v>1742945.0084999998</v>
      </c>
    </row>
    <row r="43" spans="1:55" ht="12.75" customHeight="1" x14ac:dyDescent="0.25">
      <c r="B43" s="61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</row>
    <row r="44" spans="1:55" s="2" customFormat="1" ht="12.75" customHeight="1" x14ac:dyDescent="0.3">
      <c r="B44" s="16"/>
      <c r="C44" s="67">
        <f t="shared" ref="C44:AH44" si="22">SUM(C37:C43)</f>
        <v>1352500</v>
      </c>
      <c r="D44" s="67">
        <f t="shared" si="22"/>
        <v>0</v>
      </c>
      <c r="E44" s="67">
        <f t="shared" si="22"/>
        <v>1090739.1506007325</v>
      </c>
      <c r="F44" s="67">
        <f t="shared" si="22"/>
        <v>1421405.1070384635</v>
      </c>
      <c r="G44" s="67">
        <f t="shared" si="22"/>
        <v>1628205.6524481473</v>
      </c>
      <c r="H44" s="67">
        <f t="shared" si="22"/>
        <v>1597580.2319230582</v>
      </c>
      <c r="I44" s="67">
        <f t="shared" si="22"/>
        <v>1976876.8828571877</v>
      </c>
      <c r="J44" s="67">
        <f t="shared" si="22"/>
        <v>1626366.4657018429</v>
      </c>
      <c r="K44" s="67">
        <f t="shared" si="22"/>
        <v>1595729.5502595895</v>
      </c>
      <c r="L44" s="67">
        <f t="shared" si="22"/>
        <v>2036515.6539333223</v>
      </c>
      <c r="M44" s="67">
        <f t="shared" si="22"/>
        <v>1564460.2302253286</v>
      </c>
      <c r="N44" s="67">
        <f t="shared" si="22"/>
        <v>1623860.1249863468</v>
      </c>
      <c r="O44" s="67">
        <f t="shared" si="22"/>
        <v>1607053.5030146218</v>
      </c>
      <c r="P44" s="67">
        <f t="shared" si="22"/>
        <v>1502518.6393049485</v>
      </c>
      <c r="Q44" s="67">
        <f t="shared" si="22"/>
        <v>1621938.9492977145</v>
      </c>
      <c r="R44" s="67">
        <f t="shared" si="22"/>
        <v>1816564.8331279354</v>
      </c>
      <c r="S44" s="67">
        <f t="shared" si="22"/>
        <v>1620638.0698742827</v>
      </c>
      <c r="T44" s="67">
        <f t="shared" si="22"/>
        <v>1589965.3519581072</v>
      </c>
      <c r="U44" s="67">
        <f t="shared" si="22"/>
        <v>2017325.9611424557</v>
      </c>
      <c r="V44" s="67">
        <f t="shared" si="22"/>
        <v>1618656.1022810813</v>
      </c>
      <c r="W44" s="67">
        <f t="shared" si="22"/>
        <v>1587970.997067448</v>
      </c>
      <c r="X44" s="67">
        <f t="shared" si="22"/>
        <v>2050088.3938697404</v>
      </c>
      <c r="Y44" s="67">
        <f t="shared" si="22"/>
        <v>1556604.3920498013</v>
      </c>
      <c r="Z44" s="67">
        <f t="shared" si="22"/>
        <v>1798570.9172068378</v>
      </c>
      <c r="AA44" s="67">
        <f t="shared" si="22"/>
        <v>1579316.5612292325</v>
      </c>
      <c r="AB44" s="67">
        <f t="shared" si="22"/>
        <v>1524530.7556396646</v>
      </c>
      <c r="AC44" s="67">
        <f t="shared" si="22"/>
        <v>1613884.8662720225</v>
      </c>
      <c r="AD44" s="67">
        <f t="shared" si="22"/>
        <v>1821492.092419344</v>
      </c>
      <c r="AE44" s="67">
        <f t="shared" si="22"/>
        <v>1613186.1148333331</v>
      </c>
      <c r="AF44" s="67">
        <f t="shared" si="22"/>
        <v>1583169.9408333329</v>
      </c>
      <c r="AG44" s="67">
        <f t="shared" si="22"/>
        <v>2042129.8016693436</v>
      </c>
      <c r="AH44" s="67">
        <f t="shared" si="22"/>
        <v>1613186.1148333331</v>
      </c>
      <c r="AI44" s="67">
        <f t="shared" ref="AI44:BA44" si="23">SUM(AI37:AI43)</f>
        <v>1583169.9408333329</v>
      </c>
      <c r="AJ44" s="67">
        <f t="shared" si="23"/>
        <v>2015071.5588166025</v>
      </c>
      <c r="AK44" s="67">
        <f t="shared" si="23"/>
        <v>1553153.7668333333</v>
      </c>
      <c r="AL44" s="67">
        <f t="shared" si="23"/>
        <v>1613186.1148333331</v>
      </c>
      <c r="AM44" s="67">
        <f t="shared" si="23"/>
        <v>1573810.7020666024</v>
      </c>
      <c r="AN44" s="67">
        <f t="shared" si="23"/>
        <v>1493121.4188333333</v>
      </c>
      <c r="AO44" s="67">
        <f t="shared" si="23"/>
        <v>1613186.1148333331</v>
      </c>
      <c r="AP44" s="67">
        <f t="shared" si="23"/>
        <v>1760226.1459416025</v>
      </c>
      <c r="AQ44" s="67">
        <f t="shared" si="23"/>
        <v>1613186.1148333331</v>
      </c>
      <c r="AR44" s="67">
        <f t="shared" si="23"/>
        <v>1583169.9408333329</v>
      </c>
      <c r="AS44" s="67">
        <f t="shared" si="23"/>
        <v>1977402.7821916023</v>
      </c>
      <c r="AT44" s="67">
        <f t="shared" si="23"/>
        <v>1613186.1148333331</v>
      </c>
      <c r="AU44" s="67">
        <f t="shared" si="23"/>
        <v>1583169.9408333329</v>
      </c>
      <c r="AV44" s="67">
        <f t="shared" si="23"/>
        <v>1952579.234112825</v>
      </c>
      <c r="AW44" s="67">
        <f t="shared" si="23"/>
        <v>1553153.7668333333</v>
      </c>
      <c r="AX44" s="67">
        <f t="shared" si="23"/>
        <v>1613186.1148333331</v>
      </c>
      <c r="AY44" s="67">
        <f t="shared" si="23"/>
        <v>1511137.1254878249</v>
      </c>
      <c r="AZ44" s="67">
        <f t="shared" si="23"/>
        <v>1493121.4188333333</v>
      </c>
      <c r="BA44" s="67">
        <f t="shared" si="23"/>
        <v>1613186.1148333331</v>
      </c>
      <c r="BC44" s="67">
        <f>SUM(BC37:BC43)</f>
        <v>20117863.681638557</v>
      </c>
    </row>
    <row r="45" spans="1:55" ht="12.75" customHeight="1" x14ac:dyDescent="0.25">
      <c r="B45" s="61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</row>
    <row r="46" spans="1:55" ht="15.75" customHeight="1" x14ac:dyDescent="0.35">
      <c r="A46" s="42" t="s">
        <v>181</v>
      </c>
      <c r="B46" s="61"/>
      <c r="C46" s="25">
        <f t="shared" ref="C46:AH46" si="24">C17-C44</f>
        <v>147500</v>
      </c>
      <c r="D46" s="25">
        <f t="shared" si="24"/>
        <v>0</v>
      </c>
      <c r="E46" s="25">
        <f t="shared" si="24"/>
        <v>-699449.90060073254</v>
      </c>
      <c r="F46" s="25">
        <f t="shared" si="24"/>
        <v>243176.18071153667</v>
      </c>
      <c r="G46" s="25">
        <f t="shared" si="24"/>
        <v>151174.34480185271</v>
      </c>
      <c r="H46" s="25">
        <f t="shared" si="24"/>
        <v>241726.68682694179</v>
      </c>
      <c r="I46" s="25">
        <f t="shared" si="24"/>
        <v>27806.491517812479</v>
      </c>
      <c r="J46" s="25">
        <f t="shared" si="24"/>
        <v>378316.90867315722</v>
      </c>
      <c r="K46" s="25">
        <f t="shared" si="24"/>
        <v>126251.09224041062</v>
      </c>
      <c r="L46" s="25">
        <f t="shared" si="24"/>
        <v>-257135.65668332228</v>
      </c>
      <c r="M46" s="25">
        <f t="shared" si="24"/>
        <v>100121.05752467155</v>
      </c>
      <c r="N46" s="25">
        <f t="shared" si="24"/>
        <v>193608.11061365297</v>
      </c>
      <c r="O46" s="25">
        <f t="shared" si="24"/>
        <v>-516465.76276462176</v>
      </c>
      <c r="P46" s="25">
        <f t="shared" si="24"/>
        <v>47263.938945051515</v>
      </c>
      <c r="Q46" s="25">
        <f t="shared" si="24"/>
        <v>157441.0479522855</v>
      </c>
      <c r="R46" s="25">
        <f t="shared" si="24"/>
        <v>-51950.930877935374</v>
      </c>
      <c r="S46" s="25">
        <f t="shared" si="24"/>
        <v>265673.34287571744</v>
      </c>
      <c r="T46" s="25">
        <f t="shared" si="24"/>
        <v>365412.23804189288</v>
      </c>
      <c r="U46" s="25">
        <f t="shared" si="24"/>
        <v>128110.35185754439</v>
      </c>
      <c r="V46" s="25">
        <f t="shared" si="24"/>
        <v>526780.21071891882</v>
      </c>
      <c r="W46" s="25">
        <f t="shared" si="24"/>
        <v>237491.66043255199</v>
      </c>
      <c r="X46" s="25">
        <f t="shared" si="24"/>
        <v>-163776.98111974029</v>
      </c>
      <c r="Y46" s="25">
        <f t="shared" si="24"/>
        <v>208009.51020019874</v>
      </c>
      <c r="Z46" s="25">
        <f t="shared" si="24"/>
        <v>122082.3497931622</v>
      </c>
      <c r="AA46" s="25">
        <f t="shared" si="24"/>
        <v>-484038.96672923234</v>
      </c>
      <c r="AB46" s="25">
        <f t="shared" si="24"/>
        <v>179234.39136033528</v>
      </c>
      <c r="AC46" s="25">
        <f t="shared" si="24"/>
        <v>272426.54647797765</v>
      </c>
      <c r="AD46" s="25">
        <f t="shared" si="24"/>
        <v>76640.108080655802</v>
      </c>
      <c r="AE46" s="25">
        <f t="shared" si="24"/>
        <v>415851.75466666697</v>
      </c>
      <c r="AF46" s="25">
        <f t="shared" si="24"/>
        <v>482131.436666667</v>
      </c>
      <c r="AG46" s="25">
        <f t="shared" si="24"/>
        <v>216894.42508065631</v>
      </c>
      <c r="AH46" s="25">
        <f t="shared" si="24"/>
        <v>645838.11191666685</v>
      </c>
      <c r="AI46" s="25">
        <f t="shared" ref="AI46:BA46" si="25">AI17-AI44</f>
        <v>344663.31041666702</v>
      </c>
      <c r="AJ46" s="25">
        <f t="shared" si="25"/>
        <v>-22977.199191602413</v>
      </c>
      <c r="AK46" s="25">
        <f t="shared" si="25"/>
        <v>310418.37604166684</v>
      </c>
      <c r="AL46" s="25">
        <f t="shared" si="25"/>
        <v>415851.75466666697</v>
      </c>
      <c r="AM46" s="25">
        <f t="shared" si="25"/>
        <v>-352849.64294160251</v>
      </c>
      <c r="AN46" s="25">
        <f t="shared" si="25"/>
        <v>241928.5072916667</v>
      </c>
      <c r="AO46" s="25">
        <f t="shared" si="25"/>
        <v>378908.24479166698</v>
      </c>
      <c r="AP46" s="25">
        <f t="shared" si="25"/>
        <v>235359.86218339717</v>
      </c>
      <c r="AQ46" s="25">
        <f t="shared" si="25"/>
        <v>483083.00466666697</v>
      </c>
      <c r="AR46" s="25">
        <f t="shared" si="25"/>
        <v>547193.936666667</v>
      </c>
      <c r="AS46" s="25">
        <f t="shared" si="25"/>
        <v>348852.69455839763</v>
      </c>
      <c r="AT46" s="25">
        <f t="shared" si="25"/>
        <v>713069.36191666685</v>
      </c>
      <c r="AU46" s="25">
        <f t="shared" si="25"/>
        <v>417279.00416666688</v>
      </c>
      <c r="AV46" s="25">
        <f t="shared" si="25"/>
        <v>114551.34238717495</v>
      </c>
      <c r="AW46" s="25">
        <f t="shared" si="25"/>
        <v>373312.12604166684</v>
      </c>
      <c r="AX46" s="25">
        <f t="shared" si="25"/>
        <v>483083.00466666697</v>
      </c>
      <c r="AY46" s="25">
        <f t="shared" si="25"/>
        <v>-248969.81636282476</v>
      </c>
      <c r="AZ46" s="25">
        <f t="shared" si="25"/>
        <v>300484.7572916667</v>
      </c>
      <c r="BA46" s="25">
        <f t="shared" si="25"/>
        <v>446139.49479166698</v>
      </c>
      <c r="BC46" s="2">
        <f>SUM(AD46:AO46)</f>
        <v>3153299.1874864427</v>
      </c>
    </row>
    <row r="47" spans="1:55" ht="12.75" customHeight="1" x14ac:dyDescent="0.25">
      <c r="B47" s="61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</row>
    <row r="48" spans="1:55" ht="12.75" customHeight="1" x14ac:dyDescent="0.25">
      <c r="A48" s="1" t="s">
        <v>182</v>
      </c>
      <c r="B48" s="61"/>
      <c r="C48" s="25">
        <v>0</v>
      </c>
      <c r="D48" s="25">
        <f t="shared" ref="D48:AC48" si="26">C50</f>
        <v>147500</v>
      </c>
      <c r="E48" s="25">
        <f t="shared" si="26"/>
        <v>147500</v>
      </c>
      <c r="F48" s="25">
        <f t="shared" si="26"/>
        <v>-551949.90060073254</v>
      </c>
      <c r="G48" s="25">
        <f t="shared" si="26"/>
        <v>-308773.71988919587</v>
      </c>
      <c r="H48" s="25">
        <f t="shared" si="26"/>
        <v>-157599.37508734316</v>
      </c>
      <c r="I48" s="25">
        <f t="shared" si="26"/>
        <v>84127.311739598634</v>
      </c>
      <c r="J48" s="25">
        <f t="shared" si="26"/>
        <v>111933.80325741111</v>
      </c>
      <c r="K48" s="25">
        <f t="shared" si="26"/>
        <v>490250.71193056833</v>
      </c>
      <c r="L48" s="25">
        <f t="shared" si="26"/>
        <v>616501.80417097895</v>
      </c>
      <c r="M48" s="25">
        <f t="shared" si="26"/>
        <v>359366.14748765668</v>
      </c>
      <c r="N48" s="25">
        <f t="shared" si="26"/>
        <v>459487.20501232822</v>
      </c>
      <c r="O48" s="25">
        <f t="shared" si="26"/>
        <v>653095.31562598119</v>
      </c>
      <c r="P48" s="25">
        <f t="shared" si="26"/>
        <v>136629.55286135944</v>
      </c>
      <c r="Q48" s="25">
        <f t="shared" si="26"/>
        <v>183893.49180641095</v>
      </c>
      <c r="R48" s="25">
        <f t="shared" si="26"/>
        <v>341334.53975869645</v>
      </c>
      <c r="S48" s="25">
        <f t="shared" si="26"/>
        <v>289383.60888076108</v>
      </c>
      <c r="T48" s="25">
        <f t="shared" si="26"/>
        <v>555056.95175647852</v>
      </c>
      <c r="U48" s="25">
        <f t="shared" si="26"/>
        <v>920469.1897983714</v>
      </c>
      <c r="V48" s="25">
        <f t="shared" si="26"/>
        <v>1048579.5416559158</v>
      </c>
      <c r="W48" s="25">
        <f t="shared" si="26"/>
        <v>1575359.7523748346</v>
      </c>
      <c r="X48" s="25">
        <f t="shared" si="26"/>
        <v>1812851.4128073866</v>
      </c>
      <c r="Y48" s="25">
        <f t="shared" si="26"/>
        <v>1649074.4316876463</v>
      </c>
      <c r="Z48" s="25">
        <f t="shared" si="26"/>
        <v>1857083.9418878451</v>
      </c>
      <c r="AA48" s="25">
        <f t="shared" si="26"/>
        <v>1979166.2916810072</v>
      </c>
      <c r="AB48" s="25">
        <f t="shared" si="26"/>
        <v>1495127.3249517749</v>
      </c>
      <c r="AC48" s="25">
        <f t="shared" si="26"/>
        <v>1674361.7163121102</v>
      </c>
      <c r="AD48" s="25">
        <f>'Cashflow 2007_08'!BA50</f>
        <v>4161117.8827900384</v>
      </c>
      <c r="AE48" s="25">
        <f t="shared" ref="AE48:BA48" si="27">AD50</f>
        <v>4237757.9908706937</v>
      </c>
      <c r="AF48" s="25">
        <f t="shared" si="27"/>
        <v>4653609.7455373611</v>
      </c>
      <c r="AG48" s="25">
        <f t="shared" si="27"/>
        <v>5135741.1822040286</v>
      </c>
      <c r="AH48" s="25">
        <f t="shared" si="27"/>
        <v>5352635.6072846847</v>
      </c>
      <c r="AI48" s="25">
        <f t="shared" si="27"/>
        <v>5998473.7192013515</v>
      </c>
      <c r="AJ48" s="25">
        <f t="shared" si="27"/>
        <v>6343137.0296180183</v>
      </c>
      <c r="AK48" s="25">
        <f t="shared" si="27"/>
        <v>6320159.8304264154</v>
      </c>
      <c r="AL48" s="25">
        <f t="shared" si="27"/>
        <v>6630578.206468082</v>
      </c>
      <c r="AM48" s="25">
        <f t="shared" si="27"/>
        <v>7046429.9611347485</v>
      </c>
      <c r="AN48" s="25">
        <f t="shared" si="27"/>
        <v>6693580.318193146</v>
      </c>
      <c r="AO48" s="25">
        <f t="shared" si="27"/>
        <v>6935508.8254848123</v>
      </c>
      <c r="AP48" s="25">
        <f t="shared" si="27"/>
        <v>7314417.0702764792</v>
      </c>
      <c r="AQ48" s="25">
        <f t="shared" si="27"/>
        <v>7549776.9324598759</v>
      </c>
      <c r="AR48" s="25">
        <f t="shared" si="27"/>
        <v>8032859.9371265434</v>
      </c>
      <c r="AS48" s="25">
        <f t="shared" si="27"/>
        <v>8580053.8737932108</v>
      </c>
      <c r="AT48" s="25">
        <f t="shared" si="27"/>
        <v>8928906.5683516078</v>
      </c>
      <c r="AU48" s="25">
        <f t="shared" si="27"/>
        <v>9641975.9302682746</v>
      </c>
      <c r="AV48" s="25">
        <f t="shared" si="27"/>
        <v>10059254.934434941</v>
      </c>
      <c r="AW48" s="25">
        <f t="shared" si="27"/>
        <v>10173806.276822116</v>
      </c>
      <c r="AX48" s="25">
        <f t="shared" si="27"/>
        <v>10547118.402863784</v>
      </c>
      <c r="AY48" s="25">
        <f t="shared" si="27"/>
        <v>11030201.407530451</v>
      </c>
      <c r="AZ48" s="25">
        <f t="shared" si="27"/>
        <v>10781231.591167627</v>
      </c>
      <c r="BA48" s="25">
        <f t="shared" si="27"/>
        <v>11081716.348459294</v>
      </c>
      <c r="BC48" s="1">
        <f>AD48</f>
        <v>4161117.8827900384</v>
      </c>
    </row>
    <row r="49" spans="1:55" ht="12.75" customHeight="1" x14ac:dyDescent="0.25">
      <c r="B49" s="61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</row>
    <row r="50" spans="1:55" ht="15" customHeight="1" x14ac:dyDescent="0.35">
      <c r="A50" s="42" t="s">
        <v>183</v>
      </c>
      <c r="C50" s="47">
        <f t="shared" ref="C50:AH50" si="28">C46+C48</f>
        <v>147500</v>
      </c>
      <c r="D50" s="47">
        <f t="shared" si="28"/>
        <v>147500</v>
      </c>
      <c r="E50" s="47">
        <f t="shared" si="28"/>
        <v>-551949.90060073254</v>
      </c>
      <c r="F50" s="47">
        <f t="shared" si="28"/>
        <v>-308773.71988919587</v>
      </c>
      <c r="G50" s="47">
        <f t="shared" si="28"/>
        <v>-157599.37508734316</v>
      </c>
      <c r="H50" s="47">
        <f t="shared" si="28"/>
        <v>84127.311739598634</v>
      </c>
      <c r="I50" s="47">
        <f t="shared" si="28"/>
        <v>111933.80325741111</v>
      </c>
      <c r="J50" s="47">
        <f t="shared" si="28"/>
        <v>490250.71193056833</v>
      </c>
      <c r="K50" s="47">
        <f t="shared" si="28"/>
        <v>616501.80417097895</v>
      </c>
      <c r="L50" s="47">
        <f t="shared" si="28"/>
        <v>359366.14748765668</v>
      </c>
      <c r="M50" s="47">
        <f t="shared" si="28"/>
        <v>459487.20501232822</v>
      </c>
      <c r="N50" s="47">
        <f t="shared" si="28"/>
        <v>653095.31562598119</v>
      </c>
      <c r="O50" s="47">
        <f t="shared" si="28"/>
        <v>136629.55286135944</v>
      </c>
      <c r="P50" s="47">
        <f t="shared" si="28"/>
        <v>183893.49180641095</v>
      </c>
      <c r="Q50" s="47">
        <f t="shared" si="28"/>
        <v>341334.53975869645</v>
      </c>
      <c r="R50" s="47">
        <f t="shared" si="28"/>
        <v>289383.60888076108</v>
      </c>
      <c r="S50" s="47">
        <f t="shared" si="28"/>
        <v>555056.95175647852</v>
      </c>
      <c r="T50" s="47">
        <f t="shared" si="28"/>
        <v>920469.1897983714</v>
      </c>
      <c r="U50" s="47">
        <f t="shared" si="28"/>
        <v>1048579.5416559158</v>
      </c>
      <c r="V50" s="47">
        <f t="shared" si="28"/>
        <v>1575359.7523748346</v>
      </c>
      <c r="W50" s="47">
        <f t="shared" si="28"/>
        <v>1812851.4128073866</v>
      </c>
      <c r="X50" s="47">
        <f t="shared" si="28"/>
        <v>1649074.4316876463</v>
      </c>
      <c r="Y50" s="47">
        <f t="shared" si="28"/>
        <v>1857083.9418878451</v>
      </c>
      <c r="Z50" s="47">
        <f t="shared" si="28"/>
        <v>1979166.2916810072</v>
      </c>
      <c r="AA50" s="47">
        <f t="shared" si="28"/>
        <v>1495127.3249517749</v>
      </c>
      <c r="AB50" s="47">
        <f t="shared" si="28"/>
        <v>1674361.7163121102</v>
      </c>
      <c r="AC50" s="47">
        <f t="shared" si="28"/>
        <v>1946788.2627900878</v>
      </c>
      <c r="AD50" s="47">
        <f t="shared" si="28"/>
        <v>4237757.9908706937</v>
      </c>
      <c r="AE50" s="47">
        <f t="shared" si="28"/>
        <v>4653609.7455373611</v>
      </c>
      <c r="AF50" s="47">
        <f t="shared" si="28"/>
        <v>5135741.1822040286</v>
      </c>
      <c r="AG50" s="47">
        <f t="shared" si="28"/>
        <v>5352635.6072846847</v>
      </c>
      <c r="AH50" s="47">
        <f t="shared" si="28"/>
        <v>5998473.7192013515</v>
      </c>
      <c r="AI50" s="47">
        <f t="shared" ref="AI50:BA50" si="29">AI46+AI48</f>
        <v>6343137.0296180183</v>
      </c>
      <c r="AJ50" s="47">
        <f t="shared" si="29"/>
        <v>6320159.8304264154</v>
      </c>
      <c r="AK50" s="47">
        <f t="shared" si="29"/>
        <v>6630578.206468082</v>
      </c>
      <c r="AL50" s="47">
        <f t="shared" si="29"/>
        <v>7046429.9611347485</v>
      </c>
      <c r="AM50" s="47">
        <f t="shared" si="29"/>
        <v>6693580.318193146</v>
      </c>
      <c r="AN50" s="47">
        <f t="shared" si="29"/>
        <v>6935508.8254848123</v>
      </c>
      <c r="AO50" s="47">
        <f t="shared" si="29"/>
        <v>7314417.0702764792</v>
      </c>
      <c r="AP50" s="47">
        <f t="shared" si="29"/>
        <v>7549776.9324598759</v>
      </c>
      <c r="AQ50" s="47">
        <f t="shared" si="29"/>
        <v>8032859.9371265434</v>
      </c>
      <c r="AR50" s="47">
        <f t="shared" si="29"/>
        <v>8580053.8737932108</v>
      </c>
      <c r="AS50" s="47">
        <f t="shared" si="29"/>
        <v>8928906.5683516078</v>
      </c>
      <c r="AT50" s="47">
        <f t="shared" si="29"/>
        <v>9641975.9302682746</v>
      </c>
      <c r="AU50" s="47">
        <f t="shared" si="29"/>
        <v>10059254.934434941</v>
      </c>
      <c r="AV50" s="47">
        <f t="shared" si="29"/>
        <v>10173806.276822116</v>
      </c>
      <c r="AW50" s="47">
        <f t="shared" si="29"/>
        <v>10547118.402863784</v>
      </c>
      <c r="AX50" s="47">
        <f t="shared" si="29"/>
        <v>11030201.407530451</v>
      </c>
      <c r="AY50" s="47">
        <f t="shared" si="29"/>
        <v>10781231.591167627</v>
      </c>
      <c r="AZ50" s="47">
        <f t="shared" si="29"/>
        <v>11081716.348459294</v>
      </c>
      <c r="BA50" s="47">
        <f t="shared" si="29"/>
        <v>11527855.84325096</v>
      </c>
      <c r="BC50" s="47">
        <f>BC46+BC48</f>
        <v>7314417.0702764811</v>
      </c>
    </row>
    <row r="51" spans="1:55" ht="12.75" customHeight="1" x14ac:dyDescent="0.25"/>
    <row r="52" spans="1:55" ht="12.75" hidden="1" customHeight="1" x14ac:dyDescent="0.25"/>
    <row r="53" spans="1:55" ht="12.75" hidden="1" customHeight="1" x14ac:dyDescent="0.25">
      <c r="B53" s="1" t="s">
        <v>185</v>
      </c>
      <c r="C53" s="25">
        <f t="shared" ref="C53:AH53" si="30">C10+C12</f>
        <v>0</v>
      </c>
      <c r="D53" s="25">
        <f t="shared" si="30"/>
        <v>0</v>
      </c>
      <c r="E53" s="25">
        <f t="shared" si="30"/>
        <v>57979.249999999993</v>
      </c>
      <c r="F53" s="25">
        <f t="shared" si="30"/>
        <v>244892.95774999997</v>
      </c>
      <c r="G53" s="25">
        <f t="shared" si="30"/>
        <v>261782.12724999999</v>
      </c>
      <c r="H53" s="25">
        <f t="shared" si="30"/>
        <v>270811.66875000001</v>
      </c>
      <c r="I53" s="25">
        <f t="shared" si="30"/>
        <v>295337.94937499997</v>
      </c>
      <c r="J53" s="25">
        <f t="shared" si="30"/>
        <v>295337.94937499997</v>
      </c>
      <c r="K53" s="25">
        <f t="shared" si="30"/>
        <v>253337.54249999998</v>
      </c>
      <c r="L53" s="25">
        <f t="shared" si="30"/>
        <v>261782.12724999999</v>
      </c>
      <c r="M53" s="25">
        <f t="shared" si="30"/>
        <v>244892.95774999997</v>
      </c>
      <c r="N53" s="25">
        <f t="shared" si="30"/>
        <v>267454.84359999996</v>
      </c>
      <c r="O53" s="25">
        <f t="shared" si="30"/>
        <v>160447.11024999997</v>
      </c>
      <c r="P53" s="25">
        <f t="shared" si="30"/>
        <v>228003.78824999998</v>
      </c>
      <c r="Q53" s="25">
        <f t="shared" si="30"/>
        <v>261782.12724999999</v>
      </c>
      <c r="R53" s="25">
        <f t="shared" si="30"/>
        <v>259791.43225000001</v>
      </c>
      <c r="S53" s="25">
        <f t="shared" si="30"/>
        <v>277708.08275</v>
      </c>
      <c r="T53" s="25">
        <f t="shared" si="30"/>
        <v>288098.78999999998</v>
      </c>
      <c r="U53" s="25">
        <f t="shared" si="30"/>
        <v>316301.15299999999</v>
      </c>
      <c r="V53" s="25">
        <f t="shared" si="30"/>
        <v>316301.15299999999</v>
      </c>
      <c r="W53" s="25">
        <f t="shared" si="30"/>
        <v>268749.75749999995</v>
      </c>
      <c r="X53" s="25">
        <f t="shared" si="30"/>
        <v>277708.08275</v>
      </c>
      <c r="Y53" s="25">
        <f t="shared" si="30"/>
        <v>259791.43225000001</v>
      </c>
      <c r="Z53" s="25">
        <f t="shared" si="30"/>
        <v>282822.82699999999</v>
      </c>
      <c r="AA53" s="25">
        <f t="shared" si="30"/>
        <v>161249.85449999999</v>
      </c>
      <c r="AB53" s="25">
        <f t="shared" si="30"/>
        <v>250833.10699999996</v>
      </c>
      <c r="AC53" s="25">
        <f t="shared" si="30"/>
        <v>277708.08275</v>
      </c>
      <c r="AD53" s="25">
        <f t="shared" si="30"/>
        <v>279148.04049999994</v>
      </c>
      <c r="AE53" s="25">
        <f t="shared" si="30"/>
        <v>298399.62949999998</v>
      </c>
      <c r="AF53" s="25">
        <f t="shared" si="30"/>
        <v>303923.07749999996</v>
      </c>
      <c r="AG53" s="25">
        <f t="shared" si="30"/>
        <v>332652.91674999997</v>
      </c>
      <c r="AH53" s="25">
        <f t="shared" si="30"/>
        <v>332652.91674999997</v>
      </c>
      <c r="AI53" s="25">
        <f t="shared" ref="AI53:BA53" si="31">AI10+AI12</f>
        <v>283449.10124999995</v>
      </c>
      <c r="AJ53" s="25">
        <f t="shared" si="31"/>
        <v>292897.40462500002</v>
      </c>
      <c r="AK53" s="25">
        <f t="shared" si="31"/>
        <v>274000.79787499999</v>
      </c>
      <c r="AL53" s="25">
        <f t="shared" si="31"/>
        <v>298399.62949999998</v>
      </c>
      <c r="AM53" s="25">
        <f t="shared" si="31"/>
        <v>179517.76412499999</v>
      </c>
      <c r="AN53" s="25">
        <f t="shared" si="31"/>
        <v>255104.19112499998</v>
      </c>
      <c r="AO53" s="25">
        <f t="shared" si="31"/>
        <v>292897.40462500002</v>
      </c>
      <c r="AP53" s="25">
        <f t="shared" si="31"/>
        <v>294191.53312499996</v>
      </c>
      <c r="AQ53" s="25">
        <f t="shared" si="31"/>
        <v>308978.37949999998</v>
      </c>
      <c r="AR53" s="25">
        <f t="shared" si="31"/>
        <v>314160.57749999996</v>
      </c>
      <c r="AS53" s="25">
        <f t="shared" si="31"/>
        <v>343231.66674999997</v>
      </c>
      <c r="AT53" s="25">
        <f t="shared" si="31"/>
        <v>343231.66674999997</v>
      </c>
      <c r="AU53" s="25">
        <f t="shared" si="31"/>
        <v>294811.54499999993</v>
      </c>
      <c r="AV53" s="25">
        <f t="shared" si="31"/>
        <v>304638.59649999999</v>
      </c>
      <c r="AW53" s="25">
        <f t="shared" si="31"/>
        <v>283897.04787499999</v>
      </c>
      <c r="AX53" s="25">
        <f t="shared" si="31"/>
        <v>308978.37949999998</v>
      </c>
      <c r="AY53" s="25">
        <f t="shared" si="31"/>
        <v>186001.51412499999</v>
      </c>
      <c r="AZ53" s="25">
        <f t="shared" si="31"/>
        <v>264317.94112500001</v>
      </c>
      <c r="BA53" s="25">
        <f t="shared" si="31"/>
        <v>303476.15462500002</v>
      </c>
    </row>
    <row r="54" spans="1:55" ht="12.75" hidden="1" customHeight="1" x14ac:dyDescent="0.25">
      <c r="B54" s="1" t="s">
        <v>186</v>
      </c>
      <c r="C54" s="25">
        <f t="shared" ref="C54:AH54" si="32">-(C36+C31+C29+C27+C25+C23)</f>
        <v>-52500</v>
      </c>
      <c r="D54" s="25">
        <f t="shared" si="32"/>
        <v>0</v>
      </c>
      <c r="E54" s="25">
        <f t="shared" si="32"/>
        <v>-140352.90979487181</v>
      </c>
      <c r="F54" s="25">
        <f t="shared" si="32"/>
        <v>-140018.24016666668</v>
      </c>
      <c r="G54" s="25">
        <f t="shared" si="32"/>
        <v>-145043.90816666666</v>
      </c>
      <c r="H54" s="25">
        <f t="shared" si="32"/>
        <v>-142531.07416666666</v>
      </c>
      <c r="I54" s="25">
        <f t="shared" si="32"/>
        <v>-145043.90816666666</v>
      </c>
      <c r="J54" s="25">
        <f t="shared" si="32"/>
        <v>-145043.90816666666</v>
      </c>
      <c r="K54" s="25">
        <f t="shared" si="32"/>
        <v>-142531.07416666666</v>
      </c>
      <c r="L54" s="25">
        <f t="shared" si="32"/>
        <v>-145043.90816666666</v>
      </c>
      <c r="M54" s="25">
        <f t="shared" si="32"/>
        <v>-140018.24016666668</v>
      </c>
      <c r="N54" s="25">
        <f t="shared" si="32"/>
        <v>-145043.90816666666</v>
      </c>
      <c r="O54" s="25">
        <f t="shared" si="32"/>
        <v>-114889.90016666667</v>
      </c>
      <c r="P54" s="25">
        <f t="shared" si="32"/>
        <v>-134992.57216666668</v>
      </c>
      <c r="Q54" s="25">
        <f t="shared" si="32"/>
        <v>-145043.90816666666</v>
      </c>
      <c r="R54" s="25">
        <f t="shared" si="32"/>
        <v>-140018.24016666668</v>
      </c>
      <c r="S54" s="25">
        <f t="shared" si="32"/>
        <v>-145043.90816666666</v>
      </c>
      <c r="T54" s="25">
        <f t="shared" si="32"/>
        <v>-142531.07416666666</v>
      </c>
      <c r="U54" s="25">
        <f t="shared" si="32"/>
        <v>-145043.90816666666</v>
      </c>
      <c r="V54" s="25">
        <f t="shared" si="32"/>
        <v>-145043.90816666666</v>
      </c>
      <c r="W54" s="25">
        <f t="shared" si="32"/>
        <v>-142531.07416666666</v>
      </c>
      <c r="X54" s="25">
        <f t="shared" si="32"/>
        <v>-145043.90816666666</v>
      </c>
      <c r="Y54" s="25">
        <f t="shared" si="32"/>
        <v>-140018.24016666668</v>
      </c>
      <c r="Z54" s="25">
        <f t="shared" si="32"/>
        <v>-145043.90816666666</v>
      </c>
      <c r="AA54" s="25">
        <f t="shared" si="32"/>
        <v>-112377.06616666667</v>
      </c>
      <c r="AB54" s="25">
        <f t="shared" si="32"/>
        <v>-137505.40616666668</v>
      </c>
      <c r="AC54" s="25">
        <f t="shared" si="32"/>
        <v>-145043.90816666666</v>
      </c>
      <c r="AD54" s="25">
        <f t="shared" si="32"/>
        <v>-140018.24016666668</v>
      </c>
      <c r="AE54" s="25">
        <f t="shared" si="32"/>
        <v>-145043.90816666666</v>
      </c>
      <c r="AF54" s="25">
        <f t="shared" si="32"/>
        <v>-142531.07416666666</v>
      </c>
      <c r="AG54" s="25">
        <f t="shared" si="32"/>
        <v>-145043.90816666666</v>
      </c>
      <c r="AH54" s="25">
        <f t="shared" si="32"/>
        <v>-145043.90816666666</v>
      </c>
      <c r="AI54" s="25">
        <f t="shared" ref="AI54:BA54" si="33">-(AI36+AI31+AI29+AI27+AI25+AI23)</f>
        <v>-142531.07416666666</v>
      </c>
      <c r="AJ54" s="25">
        <f t="shared" si="33"/>
        <v>-145043.90816666666</v>
      </c>
      <c r="AK54" s="25">
        <f t="shared" si="33"/>
        <v>-140018.24016666668</v>
      </c>
      <c r="AL54" s="25">
        <f t="shared" si="33"/>
        <v>-145043.90816666666</v>
      </c>
      <c r="AM54" s="25">
        <f t="shared" si="33"/>
        <v>-114889.90016666667</v>
      </c>
      <c r="AN54" s="25">
        <f t="shared" si="33"/>
        <v>-134992.57216666668</v>
      </c>
      <c r="AO54" s="25">
        <f t="shared" si="33"/>
        <v>-145043.90816666666</v>
      </c>
      <c r="AP54" s="25">
        <f t="shared" si="33"/>
        <v>-140018.24016666668</v>
      </c>
      <c r="AQ54" s="25">
        <f t="shared" si="33"/>
        <v>-145043.90816666666</v>
      </c>
      <c r="AR54" s="25">
        <f t="shared" si="33"/>
        <v>-142531.07416666666</v>
      </c>
      <c r="AS54" s="25">
        <f t="shared" si="33"/>
        <v>-145043.90816666666</v>
      </c>
      <c r="AT54" s="25">
        <f t="shared" si="33"/>
        <v>-145043.90816666666</v>
      </c>
      <c r="AU54" s="25">
        <f t="shared" si="33"/>
        <v>-142531.07416666666</v>
      </c>
      <c r="AV54" s="25">
        <f t="shared" si="33"/>
        <v>-145043.90816666666</v>
      </c>
      <c r="AW54" s="25">
        <f t="shared" si="33"/>
        <v>-140018.24016666668</v>
      </c>
      <c r="AX54" s="25">
        <f t="shared" si="33"/>
        <v>-145043.90816666666</v>
      </c>
      <c r="AY54" s="25">
        <f t="shared" si="33"/>
        <v>-114889.90016666667</v>
      </c>
      <c r="AZ54" s="25">
        <f t="shared" si="33"/>
        <v>-134992.57216666668</v>
      </c>
      <c r="BA54" s="25">
        <f t="shared" si="33"/>
        <v>-145043.90816666666</v>
      </c>
    </row>
    <row r="55" spans="1:55" ht="12.75" hidden="1" customHeight="1" x14ac:dyDescent="0.25">
      <c r="B55" s="1" t="s">
        <v>187</v>
      </c>
      <c r="C55" s="25">
        <f t="shared" ref="C55:AH55" si="34">C53+C54</f>
        <v>-52500</v>
      </c>
      <c r="D55" s="25">
        <f t="shared" si="34"/>
        <v>0</v>
      </c>
      <c r="E55" s="25">
        <f t="shared" si="34"/>
        <v>-82373.659794871812</v>
      </c>
      <c r="F55" s="25">
        <f t="shared" si="34"/>
        <v>104874.71758333329</v>
      </c>
      <c r="G55" s="25">
        <f t="shared" si="34"/>
        <v>116738.21908333333</v>
      </c>
      <c r="H55" s="25">
        <f t="shared" si="34"/>
        <v>128280.59458333335</v>
      </c>
      <c r="I55" s="25">
        <f t="shared" si="34"/>
        <v>150294.04120833331</v>
      </c>
      <c r="J55" s="25">
        <f t="shared" si="34"/>
        <v>150294.04120833331</v>
      </c>
      <c r="K55" s="25">
        <f t="shared" si="34"/>
        <v>110806.46833333332</v>
      </c>
      <c r="L55" s="25">
        <f t="shared" si="34"/>
        <v>116738.21908333333</v>
      </c>
      <c r="M55" s="25">
        <f t="shared" si="34"/>
        <v>104874.71758333329</v>
      </c>
      <c r="N55" s="25">
        <f t="shared" si="34"/>
        <v>122410.9354333333</v>
      </c>
      <c r="O55" s="25">
        <f t="shared" si="34"/>
        <v>45557.210083333295</v>
      </c>
      <c r="P55" s="25">
        <f t="shared" si="34"/>
        <v>93011.216083333304</v>
      </c>
      <c r="Q55" s="25">
        <f t="shared" si="34"/>
        <v>116738.21908333333</v>
      </c>
      <c r="R55" s="25">
        <f t="shared" si="34"/>
        <v>119773.19208333333</v>
      </c>
      <c r="S55" s="25">
        <f t="shared" si="34"/>
        <v>132664.17458333334</v>
      </c>
      <c r="T55" s="25">
        <f t="shared" si="34"/>
        <v>145567.71583333332</v>
      </c>
      <c r="U55" s="25">
        <f t="shared" si="34"/>
        <v>171257.24483333333</v>
      </c>
      <c r="V55" s="25">
        <f t="shared" si="34"/>
        <v>171257.24483333333</v>
      </c>
      <c r="W55" s="25">
        <f t="shared" si="34"/>
        <v>126218.68333333329</v>
      </c>
      <c r="X55" s="25">
        <f t="shared" si="34"/>
        <v>132664.17458333334</v>
      </c>
      <c r="Y55" s="25">
        <f t="shared" si="34"/>
        <v>119773.19208333333</v>
      </c>
      <c r="Z55" s="25">
        <f t="shared" si="34"/>
        <v>137778.91883333333</v>
      </c>
      <c r="AA55" s="25">
        <f t="shared" si="34"/>
        <v>48872.788333333316</v>
      </c>
      <c r="AB55" s="25">
        <f t="shared" si="34"/>
        <v>113327.70083333328</v>
      </c>
      <c r="AC55" s="25">
        <f t="shared" si="34"/>
        <v>132664.17458333334</v>
      </c>
      <c r="AD55" s="25">
        <f t="shared" si="34"/>
        <v>139129.80033333326</v>
      </c>
      <c r="AE55" s="25">
        <f t="shared" si="34"/>
        <v>153355.72133333332</v>
      </c>
      <c r="AF55" s="25">
        <f t="shared" si="34"/>
        <v>161392.0033333333</v>
      </c>
      <c r="AG55" s="25">
        <f t="shared" si="34"/>
        <v>187609.00858333331</v>
      </c>
      <c r="AH55" s="25">
        <f t="shared" si="34"/>
        <v>187609.00858333331</v>
      </c>
      <c r="AI55" s="25">
        <f t="shared" ref="AI55:BA55" si="35">AI53+AI54</f>
        <v>140918.02708333329</v>
      </c>
      <c r="AJ55" s="25">
        <f t="shared" si="35"/>
        <v>147853.49645833336</v>
      </c>
      <c r="AK55" s="25">
        <f t="shared" si="35"/>
        <v>133982.5577083333</v>
      </c>
      <c r="AL55" s="25">
        <f t="shared" si="35"/>
        <v>153355.72133333332</v>
      </c>
      <c r="AM55" s="25">
        <f t="shared" si="35"/>
        <v>64627.863958333313</v>
      </c>
      <c r="AN55" s="25">
        <f t="shared" si="35"/>
        <v>120111.6189583333</v>
      </c>
      <c r="AO55" s="25">
        <f t="shared" si="35"/>
        <v>147853.49645833336</v>
      </c>
      <c r="AP55" s="25">
        <f t="shared" si="35"/>
        <v>154173.29295833327</v>
      </c>
      <c r="AQ55" s="25">
        <f t="shared" si="35"/>
        <v>163934.47133333332</v>
      </c>
      <c r="AR55" s="25">
        <f t="shared" si="35"/>
        <v>171629.5033333333</v>
      </c>
      <c r="AS55" s="25">
        <f t="shared" si="35"/>
        <v>198187.75858333331</v>
      </c>
      <c r="AT55" s="25">
        <f t="shared" si="35"/>
        <v>198187.75858333331</v>
      </c>
      <c r="AU55" s="25">
        <f t="shared" si="35"/>
        <v>152280.47083333327</v>
      </c>
      <c r="AV55" s="25">
        <f t="shared" si="35"/>
        <v>159594.68833333332</v>
      </c>
      <c r="AW55" s="25">
        <f t="shared" si="35"/>
        <v>143878.8077083333</v>
      </c>
      <c r="AX55" s="25">
        <f t="shared" si="35"/>
        <v>163934.47133333332</v>
      </c>
      <c r="AY55" s="25">
        <f t="shared" si="35"/>
        <v>71111.613958333313</v>
      </c>
      <c r="AZ55" s="25">
        <f t="shared" si="35"/>
        <v>129325.36895833333</v>
      </c>
      <c r="BA55" s="25">
        <f t="shared" si="35"/>
        <v>158432.24645833336</v>
      </c>
    </row>
    <row r="56" spans="1:55" ht="12.75" hidden="1" customHeight="1" x14ac:dyDescent="0.25"/>
    <row r="57" spans="1:55" ht="12.75" hidden="1" customHeight="1" x14ac:dyDescent="0.25"/>
    <row r="58" spans="1:55" ht="12.75" hidden="1" customHeight="1" x14ac:dyDescent="0.3">
      <c r="B58" s="36" t="s">
        <v>178</v>
      </c>
    </row>
    <row r="59" spans="1:55" ht="12.75" hidden="1" customHeight="1" x14ac:dyDescent="0.25"/>
    <row r="60" spans="1:55" ht="12.75" hidden="1" customHeight="1" x14ac:dyDescent="0.3">
      <c r="B60" s="2" t="s">
        <v>188</v>
      </c>
      <c r="C60" s="8" t="s">
        <v>193</v>
      </c>
      <c r="D60" s="8" t="s">
        <v>194</v>
      </c>
      <c r="E60" s="8" t="s">
        <v>195</v>
      </c>
      <c r="F60" s="8" t="s">
        <v>189</v>
      </c>
      <c r="G60" s="8" t="s">
        <v>70</v>
      </c>
      <c r="H60" s="8" t="s">
        <v>72</v>
      </c>
      <c r="I60" s="8" t="s">
        <v>60</v>
      </c>
      <c r="J60" s="8" t="s">
        <v>190</v>
      </c>
      <c r="L60" s="8" t="s">
        <v>191</v>
      </c>
    </row>
    <row r="61" spans="1:55" ht="12.75" hidden="1" customHeight="1" x14ac:dyDescent="0.3">
      <c r="B61" s="69">
        <v>2006</v>
      </c>
      <c r="C61" s="25">
        <v>0</v>
      </c>
      <c r="D61" s="25">
        <f>-'P_L Summary'!C78</f>
        <v>-182615.72938461541</v>
      </c>
      <c r="J61" s="25">
        <f>C61+D61-SUM(E61:I61)</f>
        <v>-182615.72938461541</v>
      </c>
      <c r="L61" s="25">
        <f>SUM(E61:I61)</f>
        <v>0</v>
      </c>
    </row>
    <row r="62" spans="1:55" ht="12.75" hidden="1" customHeight="1" x14ac:dyDescent="0.3">
      <c r="B62" s="69">
        <v>2007</v>
      </c>
      <c r="C62" s="25">
        <f>J61</f>
        <v>-182615.72938461541</v>
      </c>
      <c r="D62" s="25">
        <f>-'P_L Summary'!D78</f>
        <v>143835.35265595725</v>
      </c>
      <c r="G62" s="25">
        <f>$D$62/4</f>
        <v>35958.838163989312</v>
      </c>
      <c r="H62" s="25">
        <f>D61</f>
        <v>-182615.72938461541</v>
      </c>
      <c r="I62" s="25">
        <f>$D$62/4</f>
        <v>35958.838163989312</v>
      </c>
      <c r="J62" s="25">
        <f>C62+D62-SUM(E62:I62)</f>
        <v>71917.676327978639</v>
      </c>
      <c r="L62" s="25">
        <f>SUM(E62:I62)</f>
        <v>-110698.0530566368</v>
      </c>
    </row>
    <row r="63" spans="1:55" ht="12.75" hidden="1" customHeight="1" x14ac:dyDescent="0.3">
      <c r="B63" s="69">
        <v>2008</v>
      </c>
      <c r="C63" s="25">
        <f>J62</f>
        <v>71917.676327978639</v>
      </c>
      <c r="D63" s="25">
        <f>-'P_L Summary'!E78</f>
        <v>502082.40106692235</v>
      </c>
      <c r="E63" s="25">
        <f>$D$62/4</f>
        <v>35958.838163989312</v>
      </c>
      <c r="F63" s="25">
        <f>$D$62/4</f>
        <v>35958.838163989312</v>
      </c>
      <c r="G63" s="25">
        <f>$D$63/4</f>
        <v>125520.60026673059</v>
      </c>
      <c r="H63" s="70">
        <v>0</v>
      </c>
      <c r="I63" s="25">
        <f>$D$63/4</f>
        <v>125520.60026673059</v>
      </c>
      <c r="J63" s="25">
        <f>C63+D63-SUM(E63:I63)</f>
        <v>251041.20053346117</v>
      </c>
      <c r="L63" s="25">
        <f>SUM(E63:I63)</f>
        <v>322958.87686143978</v>
      </c>
    </row>
    <row r="64" spans="1:55" ht="12.75" hidden="1" customHeight="1" x14ac:dyDescent="0.3">
      <c r="B64" s="69">
        <v>2009</v>
      </c>
      <c r="C64" s="25">
        <f>J63</f>
        <v>251041.20053346117</v>
      </c>
      <c r="D64" s="25">
        <f>-'P_L Summary'!F78</f>
        <v>837051.47488203156</v>
      </c>
      <c r="E64" s="25">
        <f>$D$63/4</f>
        <v>125520.60026673059</v>
      </c>
      <c r="F64" s="25">
        <f>$D$63/4</f>
        <v>125520.60026673059</v>
      </c>
      <c r="G64" s="25">
        <f>$D$64/4</f>
        <v>209262.86872050789</v>
      </c>
      <c r="H64" s="70">
        <v>0</v>
      </c>
      <c r="I64" s="25">
        <f>$D$64/4</f>
        <v>209262.86872050789</v>
      </c>
      <c r="J64" s="25">
        <f>C64+D64-SUM(E64:I64)</f>
        <v>418525.73744101566</v>
      </c>
      <c r="L64" s="25">
        <f>SUM(E64:I64)</f>
        <v>669566.93797447695</v>
      </c>
    </row>
    <row r="65" spans="2:12" ht="12.75" hidden="1" customHeight="1" x14ac:dyDescent="0.3">
      <c r="B65" s="69">
        <v>2010</v>
      </c>
      <c r="C65" s="25">
        <f>J64</f>
        <v>418525.73744101566</v>
      </c>
      <c r="D65" s="25">
        <f>-'P_L Summary'!G78</f>
        <v>1054680.2727890902</v>
      </c>
      <c r="E65" s="25">
        <f>$D$64/4</f>
        <v>209262.86872050789</v>
      </c>
      <c r="F65" s="25">
        <f>$D$64/4</f>
        <v>209262.86872050789</v>
      </c>
      <c r="G65" s="25">
        <f>$D$65/4</f>
        <v>263670.06819727254</v>
      </c>
      <c r="H65" s="70">
        <v>0</v>
      </c>
      <c r="I65" s="25">
        <f>$D$65/4</f>
        <v>263670.06819727254</v>
      </c>
      <c r="J65" s="25">
        <f>C65+D65-SUM(E65:I65)</f>
        <v>527340.13639454497</v>
      </c>
      <c r="L65" s="25">
        <f>SUM(E65:I65)</f>
        <v>945865.87383556087</v>
      </c>
    </row>
    <row r="66" spans="2:12" ht="12.75" hidden="1" customHeight="1" x14ac:dyDescent="0.25"/>
    <row r="67" spans="2:12" ht="12.75" hidden="1" customHeight="1" x14ac:dyDescent="0.25">
      <c r="B67" s="1" t="s">
        <v>192</v>
      </c>
    </row>
    <row r="68" spans="2:12" ht="12.75" hidden="1" customHeight="1" x14ac:dyDescent="0.25"/>
    <row r="69" spans="2:12" ht="12.75" hidden="1" customHeight="1" x14ac:dyDescent="0.25"/>
    <row r="70" spans="2:12" ht="12.75" hidden="1" customHeight="1" x14ac:dyDescent="0.25"/>
    <row r="71" spans="2:12" ht="12.75" customHeight="1" x14ac:dyDescent="0.25"/>
    <row r="72" spans="2:12" ht="12.75" customHeight="1" x14ac:dyDescent="0.25"/>
    <row r="73" spans="2:12" ht="12.75" customHeight="1" x14ac:dyDescent="0.25"/>
    <row r="74" spans="2:12" ht="12.75" customHeight="1" x14ac:dyDescent="0.25"/>
    <row r="75" spans="2:12" ht="12.75" customHeight="1" x14ac:dyDescent="0.25"/>
    <row r="76" spans="2:12" ht="12.75" customHeight="1" x14ac:dyDescent="0.25"/>
    <row r="77" spans="2:12" ht="12.75" customHeight="1" x14ac:dyDescent="0.25"/>
    <row r="78" spans="2:12" ht="12.75" customHeight="1" x14ac:dyDescent="0.25"/>
    <row r="79" spans="2:12" ht="12.75" customHeight="1" x14ac:dyDescent="0.25"/>
    <row r="80" spans="2:12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scale="55" firstPageNumber="0" orientation="landscape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32"/>
  <sheetViews>
    <sheetView zoomScaleSheetLayoutView="75" workbookViewId="0">
      <pane xSplit="41" ySplit="6" topLeftCell="AP7" activePane="bottomRight" state="frozen"/>
      <selection pane="topRight" activeCell="AP1" sqref="AP1"/>
      <selection pane="bottomLeft" activeCell="A33" sqref="A33"/>
      <selection pane="bottomRight" activeCell="A2" sqref="A2"/>
    </sheetView>
  </sheetViews>
  <sheetFormatPr defaultColWidth="9.08984375" defaultRowHeight="12.5" x14ac:dyDescent="0.25"/>
  <cols>
    <col min="1" max="1" width="2.453125" style="1" customWidth="1"/>
    <col min="2" max="2" width="27.54296875" style="1" customWidth="1"/>
    <col min="3" max="41" width="0" style="25" hidden="1" customWidth="1"/>
    <col min="42" max="42" width="13.26953125" style="25" customWidth="1"/>
    <col min="43" max="43" width="14.26953125" style="25" customWidth="1"/>
    <col min="44" max="44" width="13.54296875" style="25" customWidth="1"/>
    <col min="45" max="45" width="12.81640625" style="25" customWidth="1"/>
    <col min="46" max="46" width="14.08984375" style="25" customWidth="1"/>
    <col min="47" max="47" width="15.08984375" style="25" customWidth="1"/>
    <col min="48" max="48" width="16" style="25" customWidth="1"/>
    <col min="49" max="49" width="14.453125" style="25" customWidth="1"/>
    <col min="50" max="51" width="15.81640625" style="25" customWidth="1"/>
    <col min="52" max="52" width="14.26953125" style="25" customWidth="1"/>
    <col min="53" max="53" width="13.81640625" style="25" customWidth="1"/>
    <col min="54" max="54" width="3.7265625" style="1" customWidth="1"/>
    <col min="55" max="55" width="15.54296875" style="1" customWidth="1"/>
    <col min="56" max="16384" width="9.08984375" style="1"/>
  </cols>
  <sheetData>
    <row r="1" spans="1:55" ht="15.5" x14ac:dyDescent="0.35">
      <c r="A1" s="26" t="s">
        <v>240</v>
      </c>
      <c r="B1" s="27"/>
    </row>
    <row r="2" spans="1:55" ht="15.5" x14ac:dyDescent="0.35">
      <c r="A2" s="26" t="s">
        <v>153</v>
      </c>
      <c r="B2" s="27"/>
    </row>
    <row r="3" spans="1:55" ht="15.5" x14ac:dyDescent="0.35">
      <c r="A3" s="26" t="s">
        <v>79</v>
      </c>
      <c r="B3" s="27"/>
      <c r="E3" s="60"/>
    </row>
    <row r="5" spans="1:55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  <c r="BC5" s="8" t="s">
        <v>3</v>
      </c>
    </row>
    <row r="6" spans="1:55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  <c r="BC6" s="7">
        <v>2010</v>
      </c>
    </row>
    <row r="7" spans="1:55" ht="15.5" x14ac:dyDescent="0.35">
      <c r="A7" s="26" t="s">
        <v>155</v>
      </c>
    </row>
    <row r="8" spans="1:55" x14ac:dyDescent="0.25">
      <c r="B8" s="34" t="s">
        <v>156</v>
      </c>
      <c r="C8" s="25">
        <f>1500000</f>
        <v>1500000</v>
      </c>
    </row>
    <row r="9" spans="1:55" ht="13" x14ac:dyDescent="0.3">
      <c r="B9" s="34" t="s">
        <v>157</v>
      </c>
      <c r="C9" s="25">
        <f>P_L!C8</f>
        <v>0</v>
      </c>
      <c r="D9" s="25">
        <f>P_L!D8</f>
        <v>0</v>
      </c>
      <c r="E9" s="25">
        <f>P_L!E8</f>
        <v>329000</v>
      </c>
      <c r="F9" s="25">
        <f>P_L!F8</f>
        <v>1390274.5</v>
      </c>
      <c r="G9" s="25">
        <f>P_L!G8</f>
        <v>1486155.5</v>
      </c>
      <c r="H9" s="25">
        <f>P_L!H8</f>
        <v>1523925</v>
      </c>
      <c r="I9" s="25">
        <f>P_L!I8</f>
        <v>1663289.5</v>
      </c>
      <c r="J9" s="25">
        <f>P_L!J8</f>
        <v>1663289.5</v>
      </c>
      <c r="K9" s="25">
        <f>P_L!K8</f>
        <v>1438215</v>
      </c>
      <c r="L9" s="25">
        <f>P_L!L8</f>
        <v>1486155.5</v>
      </c>
      <c r="M9" s="25">
        <f>P_L!M8</f>
        <v>1390274.5</v>
      </c>
      <c r="N9" s="25">
        <f>P_L!N8</f>
        <v>1512725.5999999999</v>
      </c>
      <c r="O9" s="25">
        <f>P_L!O8</f>
        <v>910869.5</v>
      </c>
      <c r="P9" s="25">
        <f>P_L!P8</f>
        <v>1294393.5</v>
      </c>
      <c r="Q9" s="25">
        <f>P_L!Q8</f>
        <v>1486155.5</v>
      </c>
      <c r="R9" s="25">
        <f>P_L!R8</f>
        <v>1470851.7250000001</v>
      </c>
      <c r="S9" s="25">
        <f>P_L!S8</f>
        <v>1572289.7750000001</v>
      </c>
      <c r="T9" s="25">
        <f>P_L!T8</f>
        <v>1617994.5</v>
      </c>
      <c r="U9" s="25">
        <f>P_L!U8</f>
        <v>1778208.05</v>
      </c>
      <c r="V9" s="25">
        <f>P_L!V8</f>
        <v>1778208.05</v>
      </c>
      <c r="W9" s="25">
        <f>P_L!W8</f>
        <v>1521570.75</v>
      </c>
      <c r="X9" s="25">
        <f>P_L!X8</f>
        <v>1572289.7750000001</v>
      </c>
      <c r="Y9" s="25">
        <f>P_L!Y8</f>
        <v>1470851.7250000001</v>
      </c>
      <c r="Z9" s="25">
        <f>P_L!Z8</f>
        <v>1596645.7</v>
      </c>
      <c r="AA9" s="25">
        <f>P_L!AA8</f>
        <v>912942.45000000007</v>
      </c>
      <c r="AB9" s="25">
        <f>P_L!AB8</f>
        <v>1420132.7</v>
      </c>
      <c r="AC9" s="25">
        <f>P_L!AC8</f>
        <v>1572289.7750000001</v>
      </c>
      <c r="AD9" s="25">
        <f>P_L!AD8</f>
        <v>1576904</v>
      </c>
      <c r="AE9" s="25">
        <f>P_L!AE8</f>
        <v>1685656</v>
      </c>
      <c r="AF9" s="25">
        <f>P_L!AF8</f>
        <v>1708419</v>
      </c>
      <c r="AG9" s="25">
        <f>P_L!AG8</f>
        <v>1871646.7</v>
      </c>
      <c r="AH9" s="25">
        <f>P_L!AH8</f>
        <v>1871646.7</v>
      </c>
      <c r="AI9" s="25">
        <f>P_L!AI8</f>
        <v>1605567</v>
      </c>
      <c r="AJ9" s="25">
        <f>P_L!AJ8</f>
        <v>1659085.9000000001</v>
      </c>
      <c r="AK9" s="25">
        <f>P_L!AK8</f>
        <v>1552048.1</v>
      </c>
      <c r="AL9" s="25">
        <f>P_L!AL8</f>
        <v>1685656</v>
      </c>
      <c r="AM9" s="25">
        <f>P_L!AM8</f>
        <v>1016859.1</v>
      </c>
      <c r="AN9" s="25">
        <f>P_L!AN8</f>
        <v>1445010.3</v>
      </c>
      <c r="AO9" s="25">
        <f>P_L!AO8</f>
        <v>1659085.9000000001</v>
      </c>
      <c r="AP9" s="25">
        <f>'Cashflow Workings'!AP9</f>
        <v>1658309.9</v>
      </c>
      <c r="AQ9" s="25">
        <f>'Cashflow Workings'!AQ9</f>
        <v>1746106</v>
      </c>
      <c r="AR9" s="25">
        <f>'Cashflow Workings'!AR9</f>
        <v>1766919</v>
      </c>
      <c r="AS9" s="25">
        <f>'Cashflow Workings'!AS9</f>
        <v>1932096.7</v>
      </c>
      <c r="AT9" s="25">
        <f>'Cashflow Workings'!AT9</f>
        <v>1932096.7</v>
      </c>
      <c r="AU9" s="25">
        <f>'Cashflow Workings'!AU9</f>
        <v>1670495.25</v>
      </c>
      <c r="AV9" s="25">
        <f>'Cashflow Workings'!AV9</f>
        <v>1726178.425</v>
      </c>
      <c r="AW9" s="25">
        <f>'Cashflow Workings'!AW9</f>
        <v>1608598.1</v>
      </c>
      <c r="AX9" s="25">
        <f>'Cashflow Workings'!AX9</f>
        <v>1746106</v>
      </c>
      <c r="AY9" s="25">
        <f>'Cashflow Workings'!AY9</f>
        <v>1053909.1000000001</v>
      </c>
      <c r="AZ9" s="25">
        <f>'Cashflow Workings'!AZ9</f>
        <v>1497660.3</v>
      </c>
      <c r="BA9" s="25">
        <f>'Cashflow Workings'!BA9</f>
        <v>1719535.9000000001</v>
      </c>
      <c r="BC9" s="2">
        <f t="shared" ref="BC9:BC14" si="0">SUM(AP9:BA9)</f>
        <v>20058011.375</v>
      </c>
    </row>
    <row r="10" spans="1:55" ht="13" x14ac:dyDescent="0.3">
      <c r="B10" s="34" t="s">
        <v>158</v>
      </c>
      <c r="C10" s="25">
        <f t="shared" ref="C10:AO10" si="1">C9*0.175</f>
        <v>0</v>
      </c>
      <c r="D10" s="25">
        <f t="shared" si="1"/>
        <v>0</v>
      </c>
      <c r="E10" s="25">
        <f t="shared" si="1"/>
        <v>57574.999999999993</v>
      </c>
      <c r="F10" s="25">
        <f t="shared" si="1"/>
        <v>243298.03749999998</v>
      </c>
      <c r="G10" s="25">
        <f t="shared" si="1"/>
        <v>260077.21249999999</v>
      </c>
      <c r="H10" s="25">
        <f t="shared" si="1"/>
        <v>266686.875</v>
      </c>
      <c r="I10" s="25">
        <f t="shared" si="1"/>
        <v>291075.66249999998</v>
      </c>
      <c r="J10" s="25">
        <f t="shared" si="1"/>
        <v>291075.66249999998</v>
      </c>
      <c r="K10" s="25">
        <f t="shared" si="1"/>
        <v>251687.62499999997</v>
      </c>
      <c r="L10" s="25">
        <f t="shared" si="1"/>
        <v>260077.21249999999</v>
      </c>
      <c r="M10" s="25">
        <f t="shared" si="1"/>
        <v>243298.03749999998</v>
      </c>
      <c r="N10" s="25">
        <f t="shared" si="1"/>
        <v>264726.98</v>
      </c>
      <c r="O10" s="25">
        <f t="shared" si="1"/>
        <v>159402.16249999998</v>
      </c>
      <c r="P10" s="25">
        <f t="shared" si="1"/>
        <v>226518.86249999999</v>
      </c>
      <c r="Q10" s="25">
        <f t="shared" si="1"/>
        <v>260077.21249999999</v>
      </c>
      <c r="R10" s="25">
        <f t="shared" si="1"/>
        <v>257399.051875</v>
      </c>
      <c r="S10" s="25">
        <f t="shared" si="1"/>
        <v>275150.71062500001</v>
      </c>
      <c r="T10" s="25">
        <f t="shared" si="1"/>
        <v>283149.03749999998</v>
      </c>
      <c r="U10" s="25">
        <f t="shared" si="1"/>
        <v>311186.40875</v>
      </c>
      <c r="V10" s="25">
        <f t="shared" si="1"/>
        <v>311186.40875</v>
      </c>
      <c r="W10" s="25">
        <f t="shared" si="1"/>
        <v>266274.88124999998</v>
      </c>
      <c r="X10" s="25">
        <f t="shared" si="1"/>
        <v>275150.71062500001</v>
      </c>
      <c r="Y10" s="25">
        <f t="shared" si="1"/>
        <v>257399.051875</v>
      </c>
      <c r="Z10" s="25">
        <f t="shared" si="1"/>
        <v>279412.9975</v>
      </c>
      <c r="AA10" s="25">
        <f t="shared" si="1"/>
        <v>159764.92874999999</v>
      </c>
      <c r="AB10" s="25">
        <f t="shared" si="1"/>
        <v>248523.22249999997</v>
      </c>
      <c r="AC10" s="25">
        <f t="shared" si="1"/>
        <v>275150.71062500001</v>
      </c>
      <c r="AD10" s="25">
        <f t="shared" si="1"/>
        <v>275958.19999999995</v>
      </c>
      <c r="AE10" s="25">
        <f t="shared" si="1"/>
        <v>294989.8</v>
      </c>
      <c r="AF10" s="25">
        <f t="shared" si="1"/>
        <v>298973.32499999995</v>
      </c>
      <c r="AG10" s="25">
        <f t="shared" si="1"/>
        <v>327538.17249999999</v>
      </c>
      <c r="AH10" s="25">
        <f t="shared" si="1"/>
        <v>327538.17249999999</v>
      </c>
      <c r="AI10" s="25">
        <f t="shared" si="1"/>
        <v>280974.22499999998</v>
      </c>
      <c r="AJ10" s="25">
        <f t="shared" si="1"/>
        <v>290340.03250000003</v>
      </c>
      <c r="AK10" s="25">
        <f t="shared" si="1"/>
        <v>271608.41749999998</v>
      </c>
      <c r="AL10" s="25">
        <f t="shared" si="1"/>
        <v>294989.8</v>
      </c>
      <c r="AM10" s="25">
        <f t="shared" si="1"/>
        <v>177950.3425</v>
      </c>
      <c r="AN10" s="25">
        <f t="shared" si="1"/>
        <v>252876.80249999999</v>
      </c>
      <c r="AO10" s="25">
        <f t="shared" si="1"/>
        <v>290340.03250000003</v>
      </c>
      <c r="AP10" s="25">
        <f>'Cashflow Workings'!AP10</f>
        <v>290204.23249999998</v>
      </c>
      <c r="AQ10" s="25">
        <f>'Cashflow Workings'!AQ10</f>
        <v>305568.55</v>
      </c>
      <c r="AR10" s="25">
        <f>'Cashflow Workings'!AR10</f>
        <v>309210.82499999995</v>
      </c>
      <c r="AS10" s="25">
        <f>'Cashflow Workings'!AS10</f>
        <v>338116.92249999999</v>
      </c>
      <c r="AT10" s="25">
        <f>'Cashflow Workings'!AT10</f>
        <v>338116.92249999999</v>
      </c>
      <c r="AU10" s="25">
        <f>'Cashflow Workings'!AU10</f>
        <v>292336.66874999995</v>
      </c>
      <c r="AV10" s="25">
        <f>'Cashflow Workings'!AV10</f>
        <v>302081.22437499999</v>
      </c>
      <c r="AW10" s="25">
        <f>'Cashflow Workings'!AW10</f>
        <v>281504.66749999998</v>
      </c>
      <c r="AX10" s="25">
        <f>'Cashflow Workings'!AX10</f>
        <v>305568.55</v>
      </c>
      <c r="AY10" s="25">
        <f>'Cashflow Workings'!AY10</f>
        <v>184434.0925</v>
      </c>
      <c r="AZ10" s="25">
        <f>'Cashflow Workings'!AZ10</f>
        <v>262090.55249999999</v>
      </c>
      <c r="BA10" s="25">
        <f>'Cashflow Workings'!BA10</f>
        <v>300918.78250000003</v>
      </c>
      <c r="BC10" s="2">
        <f t="shared" si="0"/>
        <v>3510151.9906249992</v>
      </c>
    </row>
    <row r="11" spans="1:55" ht="13" x14ac:dyDescent="0.3">
      <c r="B11" s="34" t="s">
        <v>159</v>
      </c>
      <c r="C11" s="25">
        <f>'P_L Workings'!C69</f>
        <v>0</v>
      </c>
      <c r="D11" s="25">
        <f>'P_L Workings'!D69</f>
        <v>0</v>
      </c>
      <c r="E11" s="25">
        <f>'P_L Workings'!E69</f>
        <v>2310</v>
      </c>
      <c r="F11" s="25">
        <f>'P_L Workings'!F69</f>
        <v>9113.83</v>
      </c>
      <c r="G11" s="25">
        <f>'P_L Workings'!G69</f>
        <v>9742.369999999999</v>
      </c>
      <c r="H11" s="25">
        <f>'P_L Workings'!H69</f>
        <v>23570.250000000007</v>
      </c>
      <c r="I11" s="25">
        <f>'P_L Workings'!I69</f>
        <v>24355.925000000007</v>
      </c>
      <c r="J11" s="25">
        <f>'P_L Workings'!J69</f>
        <v>24355.925000000007</v>
      </c>
      <c r="K11" s="25">
        <f>'P_L Workings'!K69</f>
        <v>9428.0999999999985</v>
      </c>
      <c r="L11" s="25">
        <f>'P_L Workings'!L69</f>
        <v>9742.369999999999</v>
      </c>
      <c r="M11" s="25">
        <f>'P_L Workings'!M69</f>
        <v>9113.83</v>
      </c>
      <c r="N11" s="25">
        <f>'P_L Workings'!N69</f>
        <v>15587.791999999999</v>
      </c>
      <c r="O11" s="25">
        <f>'P_L Workings'!O69</f>
        <v>5971.1299999999992</v>
      </c>
      <c r="P11" s="25">
        <f>'P_L Workings'!P69</f>
        <v>8485.2899999999991</v>
      </c>
      <c r="Q11" s="25">
        <f>'P_L Workings'!Q69</f>
        <v>9742.369999999999</v>
      </c>
      <c r="R11" s="25">
        <f>'P_L Workings'!R69</f>
        <v>13670.744999999999</v>
      </c>
      <c r="S11" s="25">
        <f>'P_L Workings'!S69</f>
        <v>14613.554999999998</v>
      </c>
      <c r="T11" s="25">
        <f>'P_L Workings'!T69</f>
        <v>28284.3</v>
      </c>
      <c r="U11" s="25">
        <f>'P_L Workings'!U69</f>
        <v>29227.109999999997</v>
      </c>
      <c r="V11" s="25">
        <f>'P_L Workings'!V69</f>
        <v>29227.109999999997</v>
      </c>
      <c r="W11" s="25">
        <f>'P_L Workings'!W69</f>
        <v>14142.15</v>
      </c>
      <c r="X11" s="25">
        <f>'P_L Workings'!X69</f>
        <v>14613.554999999998</v>
      </c>
      <c r="Y11" s="25">
        <f>'P_L Workings'!Y69</f>
        <v>13670.744999999999</v>
      </c>
      <c r="Z11" s="25">
        <f>'P_L Workings'!Z69</f>
        <v>19484.739999999998</v>
      </c>
      <c r="AA11" s="25">
        <f>'P_L Workings'!AA69</f>
        <v>8485.2899999999991</v>
      </c>
      <c r="AB11" s="25">
        <f>'P_L Workings'!AB69</f>
        <v>13199.34</v>
      </c>
      <c r="AC11" s="25">
        <f>'P_L Workings'!AC69</f>
        <v>14613.554999999998</v>
      </c>
      <c r="AD11" s="25">
        <f>'P_L Workings'!AD69</f>
        <v>18227.66</v>
      </c>
      <c r="AE11" s="25">
        <f>'P_L Workings'!AE69</f>
        <v>19484.739999999998</v>
      </c>
      <c r="AF11" s="25">
        <f>'P_L Workings'!AF69</f>
        <v>28284.3</v>
      </c>
      <c r="AG11" s="25">
        <f>'P_L Workings'!AG69</f>
        <v>29227.109999999997</v>
      </c>
      <c r="AH11" s="25">
        <f>'P_L Workings'!AH69</f>
        <v>29227.109999999997</v>
      </c>
      <c r="AI11" s="25">
        <f>'P_L Workings'!AI69</f>
        <v>14142.15</v>
      </c>
      <c r="AJ11" s="25">
        <f>'P_L Workings'!AJ69</f>
        <v>14613.554999999998</v>
      </c>
      <c r="AK11" s="25">
        <f>'P_L Workings'!AK69</f>
        <v>13670.744999999999</v>
      </c>
      <c r="AL11" s="25">
        <f>'P_L Workings'!AL69</f>
        <v>19484.739999999998</v>
      </c>
      <c r="AM11" s="25">
        <f>'P_L Workings'!AM69</f>
        <v>8956.6949999999997</v>
      </c>
      <c r="AN11" s="25">
        <f>'P_L Workings'!AN69</f>
        <v>12727.934999999999</v>
      </c>
      <c r="AO11" s="25">
        <f>'P_L Workings'!AO69</f>
        <v>14613.554999999998</v>
      </c>
      <c r="AP11" s="25">
        <f>'Cashflow Workings'!AP11</f>
        <v>22784.575000000004</v>
      </c>
      <c r="AQ11" s="25">
        <f>'Cashflow Workings'!AQ11</f>
        <v>19484.739999999998</v>
      </c>
      <c r="AR11" s="25">
        <f>'Cashflow Workings'!AR11</f>
        <v>28284.3</v>
      </c>
      <c r="AS11" s="25">
        <f>'Cashflow Workings'!AS11</f>
        <v>29227.109999999997</v>
      </c>
      <c r="AT11" s="25">
        <f>'Cashflow Workings'!AT11</f>
        <v>29227.109999999997</v>
      </c>
      <c r="AU11" s="25">
        <f>'Cashflow Workings'!AU11</f>
        <v>14142.15</v>
      </c>
      <c r="AV11" s="25">
        <f>'Cashflow Workings'!AV11</f>
        <v>14613.554999999998</v>
      </c>
      <c r="AW11" s="25">
        <f>'Cashflow Workings'!AW11</f>
        <v>13670.744999999999</v>
      </c>
      <c r="AX11" s="25">
        <f>'Cashflow Workings'!AX11</f>
        <v>19484.739999999998</v>
      </c>
      <c r="AY11" s="25">
        <f>'Cashflow Workings'!AY11</f>
        <v>8956.6949999999997</v>
      </c>
      <c r="AZ11" s="25">
        <f>'Cashflow Workings'!AZ11</f>
        <v>12727.934999999999</v>
      </c>
      <c r="BA11" s="25">
        <f>'Cashflow Workings'!BA11</f>
        <v>14613.554999999998</v>
      </c>
      <c r="BC11" s="2">
        <f t="shared" si="0"/>
        <v>227217.21</v>
      </c>
    </row>
    <row r="12" spans="1:55" ht="13" x14ac:dyDescent="0.3">
      <c r="B12" s="34" t="s">
        <v>160</v>
      </c>
      <c r="C12" s="25">
        <f t="shared" ref="C12:AO12" si="2">C11*0.175</f>
        <v>0</v>
      </c>
      <c r="D12" s="25">
        <f t="shared" si="2"/>
        <v>0</v>
      </c>
      <c r="E12" s="25">
        <f t="shared" si="2"/>
        <v>404.25</v>
      </c>
      <c r="F12" s="25">
        <f t="shared" si="2"/>
        <v>1594.9202499999999</v>
      </c>
      <c r="G12" s="25">
        <f t="shared" si="2"/>
        <v>1704.9147499999997</v>
      </c>
      <c r="H12" s="25">
        <f t="shared" si="2"/>
        <v>4124.7937500000007</v>
      </c>
      <c r="I12" s="25">
        <f t="shared" si="2"/>
        <v>4262.2868750000007</v>
      </c>
      <c r="J12" s="25">
        <f t="shared" si="2"/>
        <v>4262.2868750000007</v>
      </c>
      <c r="K12" s="25">
        <f t="shared" si="2"/>
        <v>1649.9174999999996</v>
      </c>
      <c r="L12" s="25">
        <f t="shared" si="2"/>
        <v>1704.9147499999997</v>
      </c>
      <c r="M12" s="25">
        <f t="shared" si="2"/>
        <v>1594.9202499999999</v>
      </c>
      <c r="N12" s="25">
        <f t="shared" si="2"/>
        <v>2727.8635999999997</v>
      </c>
      <c r="O12" s="25">
        <f t="shared" si="2"/>
        <v>1044.9477499999998</v>
      </c>
      <c r="P12" s="25">
        <f t="shared" si="2"/>
        <v>1484.9257499999997</v>
      </c>
      <c r="Q12" s="25">
        <f t="shared" si="2"/>
        <v>1704.9147499999997</v>
      </c>
      <c r="R12" s="25">
        <f t="shared" si="2"/>
        <v>2392.3803749999997</v>
      </c>
      <c r="S12" s="25">
        <f t="shared" si="2"/>
        <v>2557.3721249999994</v>
      </c>
      <c r="T12" s="25">
        <f t="shared" si="2"/>
        <v>4949.7524999999996</v>
      </c>
      <c r="U12" s="25">
        <f t="shared" si="2"/>
        <v>5114.7442499999988</v>
      </c>
      <c r="V12" s="25">
        <f t="shared" si="2"/>
        <v>5114.7442499999988</v>
      </c>
      <c r="W12" s="25">
        <f t="shared" si="2"/>
        <v>2474.8762499999998</v>
      </c>
      <c r="X12" s="25">
        <f t="shared" si="2"/>
        <v>2557.3721249999994</v>
      </c>
      <c r="Y12" s="25">
        <f t="shared" si="2"/>
        <v>2392.3803749999997</v>
      </c>
      <c r="Z12" s="25">
        <f t="shared" si="2"/>
        <v>3409.8294999999994</v>
      </c>
      <c r="AA12" s="25">
        <f t="shared" si="2"/>
        <v>1484.9257499999997</v>
      </c>
      <c r="AB12" s="25">
        <f t="shared" si="2"/>
        <v>2309.8844999999997</v>
      </c>
      <c r="AC12" s="25">
        <f t="shared" si="2"/>
        <v>2557.3721249999994</v>
      </c>
      <c r="AD12" s="25">
        <f t="shared" si="2"/>
        <v>3189.8404999999998</v>
      </c>
      <c r="AE12" s="25">
        <f t="shared" si="2"/>
        <v>3409.8294999999994</v>
      </c>
      <c r="AF12" s="25">
        <f t="shared" si="2"/>
        <v>4949.7524999999996</v>
      </c>
      <c r="AG12" s="25">
        <f t="shared" si="2"/>
        <v>5114.7442499999988</v>
      </c>
      <c r="AH12" s="25">
        <f t="shared" si="2"/>
        <v>5114.7442499999988</v>
      </c>
      <c r="AI12" s="25">
        <f t="shared" si="2"/>
        <v>2474.8762499999998</v>
      </c>
      <c r="AJ12" s="25">
        <f t="shared" si="2"/>
        <v>2557.3721249999994</v>
      </c>
      <c r="AK12" s="25">
        <f t="shared" si="2"/>
        <v>2392.3803749999997</v>
      </c>
      <c r="AL12" s="25">
        <f t="shared" si="2"/>
        <v>3409.8294999999994</v>
      </c>
      <c r="AM12" s="25">
        <f t="shared" si="2"/>
        <v>1567.4216249999999</v>
      </c>
      <c r="AN12" s="25">
        <f t="shared" si="2"/>
        <v>2227.3886249999996</v>
      </c>
      <c r="AO12" s="25">
        <f t="shared" si="2"/>
        <v>2557.3721249999994</v>
      </c>
      <c r="AP12" s="25">
        <f>'Cashflow Workings'!AP12</f>
        <v>3987.3006250000003</v>
      </c>
      <c r="AQ12" s="25">
        <f>'Cashflow Workings'!AQ12</f>
        <v>3409.8294999999994</v>
      </c>
      <c r="AR12" s="25">
        <f>'Cashflow Workings'!AR12</f>
        <v>4949.7524999999996</v>
      </c>
      <c r="AS12" s="25">
        <f>'Cashflow Workings'!AS12</f>
        <v>5114.7442499999988</v>
      </c>
      <c r="AT12" s="25">
        <f>'Cashflow Workings'!AT12</f>
        <v>5114.7442499999988</v>
      </c>
      <c r="AU12" s="25">
        <f>'Cashflow Workings'!AU12</f>
        <v>2474.8762499999998</v>
      </c>
      <c r="AV12" s="25">
        <f>'Cashflow Workings'!AV12</f>
        <v>2557.3721249999994</v>
      </c>
      <c r="AW12" s="25">
        <f>'Cashflow Workings'!AW12</f>
        <v>2392.3803749999997</v>
      </c>
      <c r="AX12" s="25">
        <f>'Cashflow Workings'!AX12</f>
        <v>3409.8294999999994</v>
      </c>
      <c r="AY12" s="25">
        <f>'Cashflow Workings'!AY12</f>
        <v>1567.4216249999999</v>
      </c>
      <c r="AZ12" s="25">
        <f>'Cashflow Workings'!AZ12</f>
        <v>2227.3886249999996</v>
      </c>
      <c r="BA12" s="25">
        <f>'Cashflow Workings'!BA12</f>
        <v>2557.3721249999994</v>
      </c>
      <c r="BC12" s="2">
        <f t="shared" si="0"/>
        <v>39763.011749999998</v>
      </c>
    </row>
    <row r="13" spans="1:55" ht="13" x14ac:dyDescent="0.3">
      <c r="B13" s="34" t="s">
        <v>48</v>
      </c>
      <c r="C13" s="25">
        <f>'P_L Workings'!C74</f>
        <v>0</v>
      </c>
      <c r="D13" s="25">
        <f>'P_L Workings'!D74</f>
        <v>0</v>
      </c>
      <c r="E13" s="25">
        <f>'P_L Workings'!E74</f>
        <v>2000</v>
      </c>
      <c r="F13" s="25">
        <f>'P_L Workings'!F74</f>
        <v>20300</v>
      </c>
      <c r="G13" s="25">
        <f>'P_L Workings'!G74</f>
        <v>21700</v>
      </c>
      <c r="H13" s="25">
        <f>'P_L Workings'!H74</f>
        <v>21000</v>
      </c>
      <c r="I13" s="25">
        <f>'P_L Workings'!I74</f>
        <v>21700</v>
      </c>
      <c r="J13" s="25">
        <f>'P_L Workings'!J74</f>
        <v>21700</v>
      </c>
      <c r="K13" s="25">
        <f>'P_L Workings'!K74</f>
        <v>21000</v>
      </c>
      <c r="L13" s="25">
        <f>'P_L Workings'!L74</f>
        <v>21700</v>
      </c>
      <c r="M13" s="25">
        <f>'P_L Workings'!M74</f>
        <v>20300</v>
      </c>
      <c r="N13" s="25">
        <f>'P_L Workings'!N74</f>
        <v>21700</v>
      </c>
      <c r="O13" s="25">
        <f>'P_L Workings'!O74</f>
        <v>13300</v>
      </c>
      <c r="P13" s="25">
        <f>'P_L Workings'!P74</f>
        <v>18900</v>
      </c>
      <c r="Q13" s="25">
        <f>'P_L Workings'!Q74</f>
        <v>21700</v>
      </c>
      <c r="R13" s="25">
        <f>'P_L Workings'!R74</f>
        <v>20300</v>
      </c>
      <c r="S13" s="25">
        <f>'P_L Workings'!S74</f>
        <v>21700</v>
      </c>
      <c r="T13" s="25">
        <f>'P_L Workings'!T74</f>
        <v>21000</v>
      </c>
      <c r="U13" s="25">
        <f>'P_L Workings'!U74</f>
        <v>21700</v>
      </c>
      <c r="V13" s="25">
        <f>'P_L Workings'!V74</f>
        <v>21700</v>
      </c>
      <c r="W13" s="25">
        <f>'P_L Workings'!W74</f>
        <v>21000</v>
      </c>
      <c r="X13" s="25">
        <f>'P_L Workings'!X74</f>
        <v>21700</v>
      </c>
      <c r="Y13" s="25">
        <f>'P_L Workings'!Y74</f>
        <v>20300</v>
      </c>
      <c r="Z13" s="25">
        <f>'P_L Workings'!Z74</f>
        <v>21700</v>
      </c>
      <c r="AA13" s="25">
        <f>'P_L Workings'!AA74</f>
        <v>12600</v>
      </c>
      <c r="AB13" s="25">
        <f>'P_L Workings'!AB74</f>
        <v>19600</v>
      </c>
      <c r="AC13" s="25">
        <f>'P_L Workings'!AC74</f>
        <v>21700</v>
      </c>
      <c r="AD13" s="25">
        <f>'P_L Workings'!AD74</f>
        <v>20300</v>
      </c>
      <c r="AE13" s="25">
        <f>'P_L Workings'!AE74</f>
        <v>21700</v>
      </c>
      <c r="AF13" s="25">
        <f>'P_L Workings'!AF74</f>
        <v>21000</v>
      </c>
      <c r="AG13" s="25">
        <f>'P_L Workings'!AG74</f>
        <v>21700</v>
      </c>
      <c r="AH13" s="25">
        <f>'P_L Workings'!AH74</f>
        <v>21700</v>
      </c>
      <c r="AI13" s="25">
        <f>'P_L Workings'!AI74</f>
        <v>21000</v>
      </c>
      <c r="AJ13" s="25">
        <f>'P_L Workings'!AJ74</f>
        <v>21700</v>
      </c>
      <c r="AK13" s="25">
        <f>'P_L Workings'!AK74</f>
        <v>20300</v>
      </c>
      <c r="AL13" s="25">
        <f>'P_L Workings'!AL74</f>
        <v>21700</v>
      </c>
      <c r="AM13" s="25">
        <f>'P_L Workings'!AM74</f>
        <v>13300</v>
      </c>
      <c r="AN13" s="25">
        <f>'P_L Workings'!AN74</f>
        <v>18900</v>
      </c>
      <c r="AO13" s="25">
        <f>'P_L Workings'!AO74</f>
        <v>21700</v>
      </c>
      <c r="AP13" s="25">
        <f>'Cashflow Workings'!AP13</f>
        <v>20300</v>
      </c>
      <c r="AQ13" s="25">
        <f>'Cashflow Workings'!AQ13</f>
        <v>21700</v>
      </c>
      <c r="AR13" s="25">
        <f>'Cashflow Workings'!AR13</f>
        <v>21000</v>
      </c>
      <c r="AS13" s="25">
        <f>'Cashflow Workings'!AS13</f>
        <v>21700</v>
      </c>
      <c r="AT13" s="25">
        <f>'Cashflow Workings'!AT13</f>
        <v>21700</v>
      </c>
      <c r="AU13" s="25">
        <f>'Cashflow Workings'!AU13</f>
        <v>21000</v>
      </c>
      <c r="AV13" s="25">
        <f>'Cashflow Workings'!AV13</f>
        <v>21700</v>
      </c>
      <c r="AW13" s="25">
        <f>'Cashflow Workings'!AW13</f>
        <v>20300</v>
      </c>
      <c r="AX13" s="25">
        <f>'Cashflow Workings'!AX13</f>
        <v>21700</v>
      </c>
      <c r="AY13" s="25">
        <f>'Cashflow Workings'!AY13</f>
        <v>13300</v>
      </c>
      <c r="AZ13" s="25">
        <f>'Cashflow Workings'!AZ13</f>
        <v>18900</v>
      </c>
      <c r="BA13" s="25">
        <f>'Cashflow Workings'!BA13</f>
        <v>21700</v>
      </c>
      <c r="BC13" s="2">
        <f t="shared" si="0"/>
        <v>245000</v>
      </c>
    </row>
    <row r="14" spans="1:55" ht="13" x14ac:dyDescent="0.3">
      <c r="B14" s="34" t="s">
        <v>184</v>
      </c>
      <c r="AP14" s="25">
        <f>'Cashflow Workings'!AP14</f>
        <v>3552.5</v>
      </c>
      <c r="AQ14" s="25">
        <f>'Cashflow Workings'!AQ14</f>
        <v>3797.4999999999995</v>
      </c>
      <c r="AR14" s="25">
        <f>'Cashflow Workings'!AR14</f>
        <v>3674.9999999999995</v>
      </c>
      <c r="AS14" s="25">
        <f>'Cashflow Workings'!AS14</f>
        <v>3797.4999999999995</v>
      </c>
      <c r="AT14" s="25">
        <f>'Cashflow Workings'!AT14</f>
        <v>3797.4999999999995</v>
      </c>
      <c r="AU14" s="25">
        <f>'Cashflow Workings'!AU14</f>
        <v>3674.9999999999995</v>
      </c>
      <c r="AV14" s="25">
        <f>'Cashflow Workings'!AV14</f>
        <v>3797.4999999999995</v>
      </c>
      <c r="AW14" s="25">
        <f>'Cashflow Workings'!AW14</f>
        <v>3552.5</v>
      </c>
      <c r="AX14" s="25">
        <f>'Cashflow Workings'!AX14</f>
        <v>3797.4999999999995</v>
      </c>
      <c r="AY14" s="25">
        <f>'Cashflow Workings'!AY14</f>
        <v>2327.5</v>
      </c>
      <c r="AZ14" s="25">
        <f>'Cashflow Workings'!AZ14</f>
        <v>3307.5</v>
      </c>
      <c r="BA14" s="25">
        <f>'Cashflow Workings'!BA14</f>
        <v>3797.4999999999995</v>
      </c>
      <c r="BC14" s="2">
        <f t="shared" si="0"/>
        <v>42875</v>
      </c>
    </row>
    <row r="15" spans="1:55" ht="13" x14ac:dyDescent="0.3">
      <c r="B15" s="34" t="s">
        <v>161</v>
      </c>
      <c r="BC15" s="2"/>
    </row>
    <row r="16" spans="1:55" ht="13" x14ac:dyDescent="0.3">
      <c r="B16" s="34" t="s">
        <v>162</v>
      </c>
      <c r="BC16" s="2"/>
    </row>
    <row r="17" spans="1:55" s="2" customFormat="1" ht="13" x14ac:dyDescent="0.3">
      <c r="C17" s="35">
        <f t="shared" ref="C17:AH17" si="3">SUM(C8:C16)</f>
        <v>1500000</v>
      </c>
      <c r="D17" s="35">
        <f t="shared" si="3"/>
        <v>0</v>
      </c>
      <c r="E17" s="35">
        <f t="shared" si="3"/>
        <v>391289.25</v>
      </c>
      <c r="F17" s="35">
        <f t="shared" si="3"/>
        <v>1664581.2877500001</v>
      </c>
      <c r="G17" s="35">
        <f t="shared" si="3"/>
        <v>1779379.99725</v>
      </c>
      <c r="H17" s="35">
        <f t="shared" si="3"/>
        <v>1839306.91875</v>
      </c>
      <c r="I17" s="35">
        <f t="shared" si="3"/>
        <v>2004683.3743750001</v>
      </c>
      <c r="J17" s="35">
        <f t="shared" si="3"/>
        <v>2004683.3743750001</v>
      </c>
      <c r="K17" s="35">
        <f t="shared" si="3"/>
        <v>1721980.6425000001</v>
      </c>
      <c r="L17" s="35">
        <f t="shared" si="3"/>
        <v>1779379.99725</v>
      </c>
      <c r="M17" s="35">
        <f t="shared" si="3"/>
        <v>1664581.2877500001</v>
      </c>
      <c r="N17" s="35">
        <f t="shared" si="3"/>
        <v>1817468.2355999998</v>
      </c>
      <c r="O17" s="35">
        <f t="shared" si="3"/>
        <v>1090587.74025</v>
      </c>
      <c r="P17" s="35">
        <f t="shared" si="3"/>
        <v>1549782.57825</v>
      </c>
      <c r="Q17" s="35">
        <f t="shared" si="3"/>
        <v>1779379.99725</v>
      </c>
      <c r="R17" s="35">
        <f t="shared" si="3"/>
        <v>1764613.90225</v>
      </c>
      <c r="S17" s="35">
        <f t="shared" si="3"/>
        <v>1886311.4127500001</v>
      </c>
      <c r="T17" s="35">
        <f t="shared" si="3"/>
        <v>1955377.59</v>
      </c>
      <c r="U17" s="35">
        <f t="shared" si="3"/>
        <v>2145436.3130000001</v>
      </c>
      <c r="V17" s="35">
        <f t="shared" si="3"/>
        <v>2145436.3130000001</v>
      </c>
      <c r="W17" s="35">
        <f t="shared" si="3"/>
        <v>1825462.6575</v>
      </c>
      <c r="X17" s="35">
        <f t="shared" si="3"/>
        <v>1886311.4127500001</v>
      </c>
      <c r="Y17" s="35">
        <f t="shared" si="3"/>
        <v>1764613.90225</v>
      </c>
      <c r="Z17" s="35">
        <f t="shared" si="3"/>
        <v>1920653.267</v>
      </c>
      <c r="AA17" s="35">
        <f t="shared" si="3"/>
        <v>1095277.5945000001</v>
      </c>
      <c r="AB17" s="35">
        <f t="shared" si="3"/>
        <v>1703765.1469999999</v>
      </c>
      <c r="AC17" s="35">
        <f t="shared" si="3"/>
        <v>1886311.4127500001</v>
      </c>
      <c r="AD17" s="35">
        <f t="shared" si="3"/>
        <v>1894579.7004999998</v>
      </c>
      <c r="AE17" s="35">
        <f t="shared" si="3"/>
        <v>2025240.3695</v>
      </c>
      <c r="AF17" s="35">
        <f t="shared" si="3"/>
        <v>2061626.3774999999</v>
      </c>
      <c r="AG17" s="35">
        <f t="shared" si="3"/>
        <v>2255226.7267499999</v>
      </c>
      <c r="AH17" s="35">
        <f t="shared" si="3"/>
        <v>2255226.7267499999</v>
      </c>
      <c r="AI17" s="35">
        <f t="shared" ref="AI17:BA17" si="4">SUM(AI8:AI16)</f>
        <v>1924158.25125</v>
      </c>
      <c r="AJ17" s="35">
        <f t="shared" si="4"/>
        <v>1988296.859625</v>
      </c>
      <c r="AK17" s="35">
        <f t="shared" si="4"/>
        <v>1860019.6428750001</v>
      </c>
      <c r="AL17" s="35">
        <f t="shared" si="4"/>
        <v>2025240.3695</v>
      </c>
      <c r="AM17" s="35">
        <f t="shared" si="4"/>
        <v>1218633.5591249999</v>
      </c>
      <c r="AN17" s="35">
        <f t="shared" si="4"/>
        <v>1731742.426125</v>
      </c>
      <c r="AO17" s="35">
        <f t="shared" si="4"/>
        <v>1988296.859625</v>
      </c>
      <c r="AP17" s="35">
        <f t="shared" si="4"/>
        <v>1999138.5081249997</v>
      </c>
      <c r="AQ17" s="35">
        <f t="shared" si="4"/>
        <v>2100066.6195</v>
      </c>
      <c r="AR17" s="35">
        <f t="shared" si="4"/>
        <v>2134038.8774999999</v>
      </c>
      <c r="AS17" s="35">
        <f t="shared" si="4"/>
        <v>2330052.9767499999</v>
      </c>
      <c r="AT17" s="35">
        <f t="shared" si="4"/>
        <v>2330052.9767499999</v>
      </c>
      <c r="AU17" s="35">
        <f t="shared" si="4"/>
        <v>2004123.9449999998</v>
      </c>
      <c r="AV17" s="35">
        <f t="shared" si="4"/>
        <v>2070928.0765</v>
      </c>
      <c r="AW17" s="35">
        <f t="shared" si="4"/>
        <v>1930018.3928750001</v>
      </c>
      <c r="AX17" s="35">
        <f t="shared" si="4"/>
        <v>2100066.6195</v>
      </c>
      <c r="AY17" s="35">
        <f t="shared" si="4"/>
        <v>1264494.8091250001</v>
      </c>
      <c r="AZ17" s="35">
        <f t="shared" si="4"/>
        <v>1796913.676125</v>
      </c>
      <c r="BA17" s="35">
        <f t="shared" si="4"/>
        <v>2063123.109625</v>
      </c>
      <c r="BC17" s="35">
        <f>SUM(BC8:BC16)</f>
        <v>24123018.587375</v>
      </c>
    </row>
    <row r="19" spans="1:55" ht="15.5" x14ac:dyDescent="0.35">
      <c r="A19" s="26" t="s">
        <v>163</v>
      </c>
    </row>
    <row r="20" spans="1:55" ht="12.75" customHeight="1" x14ac:dyDescent="0.35">
      <c r="A20" s="26"/>
    </row>
    <row r="21" spans="1:55" ht="12.75" customHeight="1" x14ac:dyDescent="0.35">
      <c r="A21" s="26"/>
      <c r="B21" s="1" t="s">
        <v>164</v>
      </c>
      <c r="C21" s="25">
        <f>1000000</f>
        <v>1000000</v>
      </c>
      <c r="BC21" s="2">
        <f t="shared" ref="BC21:BC36" si="5">SUM(AP21:BA21)</f>
        <v>0</v>
      </c>
    </row>
    <row r="22" spans="1:55" s="13" customFormat="1" ht="12.75" customHeight="1" x14ac:dyDescent="0.3">
      <c r="B22" s="61" t="s">
        <v>21</v>
      </c>
      <c r="C22" s="33">
        <f>'P_L Workings'!C84</f>
        <v>0</v>
      </c>
      <c r="D22" s="33">
        <f>'P_L Workings'!D84</f>
        <v>0</v>
      </c>
      <c r="E22" s="33">
        <f>'P_L Workings'!E84</f>
        <v>0</v>
      </c>
      <c r="F22" s="33">
        <f>'P_L Workings'!F84</f>
        <v>0</v>
      </c>
      <c r="G22" s="33">
        <f>'P_L Workings'!G84</f>
        <v>0</v>
      </c>
      <c r="H22" s="33">
        <f>'P_L Workings'!H84</f>
        <v>0</v>
      </c>
      <c r="I22" s="33">
        <f>'P_L Workings'!I84</f>
        <v>0</v>
      </c>
      <c r="J22" s="33">
        <f>'P_L Workings'!J84</f>
        <v>0</v>
      </c>
      <c r="K22" s="33">
        <f>'P_L Workings'!K84</f>
        <v>0</v>
      </c>
      <c r="L22" s="33">
        <f>'P_L Workings'!L84</f>
        <v>0</v>
      </c>
      <c r="M22" s="33">
        <f>'P_L Workings'!M84</f>
        <v>0</v>
      </c>
      <c r="N22" s="33">
        <f>'P_L Workings'!N84</f>
        <v>0</v>
      </c>
      <c r="O22" s="33">
        <f>'P_L Workings'!O84</f>
        <v>0</v>
      </c>
      <c r="P22" s="33">
        <f>'P_L Workings'!P84</f>
        <v>0</v>
      </c>
      <c r="Q22" s="33">
        <f>'P_L Workings'!Q84</f>
        <v>0</v>
      </c>
      <c r="R22" s="33">
        <f>'P_L Workings'!R84</f>
        <v>0</v>
      </c>
      <c r="S22" s="33">
        <f>'P_L Workings'!S84</f>
        <v>0</v>
      </c>
      <c r="T22" s="33">
        <f>'P_L Workings'!T84</f>
        <v>0</v>
      </c>
      <c r="U22" s="33">
        <f>'P_L Workings'!U84</f>
        <v>0</v>
      </c>
      <c r="V22" s="33">
        <f>'P_L Workings'!V84</f>
        <v>0</v>
      </c>
      <c r="W22" s="33">
        <f>'P_L Workings'!W84</f>
        <v>0</v>
      </c>
      <c r="X22" s="33">
        <f>'P_L Workings'!X84</f>
        <v>0</v>
      </c>
      <c r="Y22" s="33">
        <f>'P_L Workings'!Y84</f>
        <v>0</v>
      </c>
      <c r="Z22" s="33">
        <f>'P_L Workings'!Z84</f>
        <v>0</v>
      </c>
      <c r="AA22" s="33">
        <f>'P_L Workings'!AA84</f>
        <v>0</v>
      </c>
      <c r="AB22" s="33">
        <f>'P_L Workings'!AB84</f>
        <v>0</v>
      </c>
      <c r="AC22" s="33">
        <f>'P_L Workings'!AC84</f>
        <v>0</v>
      </c>
      <c r="AD22" s="33">
        <f>'P_L Workings'!AD84</f>
        <v>0</v>
      </c>
      <c r="AE22" s="33">
        <f>'P_L Workings'!AE84</f>
        <v>0</v>
      </c>
      <c r="AF22" s="33">
        <f>'P_L Workings'!AF84</f>
        <v>0</v>
      </c>
      <c r="AG22" s="33">
        <f>'P_L Workings'!AG84</f>
        <v>0</v>
      </c>
      <c r="AH22" s="33">
        <f>'P_L Workings'!AH84</f>
        <v>0</v>
      </c>
      <c r="AI22" s="33">
        <f>'P_L Workings'!AI84</f>
        <v>0</v>
      </c>
      <c r="AJ22" s="33">
        <f>'P_L Workings'!AJ84</f>
        <v>0</v>
      </c>
      <c r="AK22" s="33">
        <f>'P_L Workings'!AK84</f>
        <v>0</v>
      </c>
      <c r="AL22" s="33">
        <f>'P_L Workings'!AL84</f>
        <v>0</v>
      </c>
      <c r="AM22" s="33">
        <f>'P_L Workings'!AM84</f>
        <v>0</v>
      </c>
      <c r="AN22" s="33">
        <f>'P_L Workings'!AN84</f>
        <v>0</v>
      </c>
      <c r="AO22" s="33">
        <f>'P_L Workings'!AO84</f>
        <v>0</v>
      </c>
      <c r="AP22" s="33">
        <f>'Cashflow Workings'!AP22</f>
        <v>0</v>
      </c>
      <c r="AQ22" s="33">
        <f>'Cashflow Workings'!AQ22</f>
        <v>0</v>
      </c>
      <c r="AR22" s="33">
        <f>'Cashflow Workings'!AR22</f>
        <v>0</v>
      </c>
      <c r="AS22" s="33">
        <f>'Cashflow Workings'!AS22</f>
        <v>0</v>
      </c>
      <c r="AT22" s="33">
        <f>'Cashflow Workings'!AT22</f>
        <v>0</v>
      </c>
      <c r="AU22" s="33">
        <f>'Cashflow Workings'!AU22</f>
        <v>0</v>
      </c>
      <c r="AV22" s="33">
        <f>'Cashflow Workings'!AV22</f>
        <v>0</v>
      </c>
      <c r="AW22" s="33">
        <f>'Cashflow Workings'!AW22</f>
        <v>0</v>
      </c>
      <c r="AX22" s="33">
        <f>'Cashflow Workings'!AX22</f>
        <v>0</v>
      </c>
      <c r="AY22" s="33">
        <f>'Cashflow Workings'!AY22</f>
        <v>0</v>
      </c>
      <c r="AZ22" s="33">
        <f>'Cashflow Workings'!AZ22</f>
        <v>0</v>
      </c>
      <c r="BA22" s="33">
        <f>'Cashflow Workings'!BA22</f>
        <v>0</v>
      </c>
      <c r="BC22" s="2">
        <f t="shared" si="5"/>
        <v>0</v>
      </c>
    </row>
    <row r="23" spans="1:55" s="13" customFormat="1" ht="12.75" customHeight="1" x14ac:dyDescent="0.3">
      <c r="B23" s="61" t="s">
        <v>165</v>
      </c>
      <c r="C23" s="62">
        <f t="shared" ref="C23:AO23" si="6">C22*0.175</f>
        <v>0</v>
      </c>
      <c r="D23" s="62">
        <f t="shared" si="6"/>
        <v>0</v>
      </c>
      <c r="E23" s="62">
        <f t="shared" si="6"/>
        <v>0</v>
      </c>
      <c r="F23" s="62">
        <f t="shared" si="6"/>
        <v>0</v>
      </c>
      <c r="G23" s="62">
        <f t="shared" si="6"/>
        <v>0</v>
      </c>
      <c r="H23" s="62">
        <f t="shared" si="6"/>
        <v>0</v>
      </c>
      <c r="I23" s="62">
        <f t="shared" si="6"/>
        <v>0</v>
      </c>
      <c r="J23" s="62">
        <f t="shared" si="6"/>
        <v>0</v>
      </c>
      <c r="K23" s="62">
        <f t="shared" si="6"/>
        <v>0</v>
      </c>
      <c r="L23" s="62">
        <f t="shared" si="6"/>
        <v>0</v>
      </c>
      <c r="M23" s="62">
        <f t="shared" si="6"/>
        <v>0</v>
      </c>
      <c r="N23" s="62">
        <f t="shared" si="6"/>
        <v>0</v>
      </c>
      <c r="O23" s="62">
        <f t="shared" si="6"/>
        <v>0</v>
      </c>
      <c r="P23" s="62">
        <f t="shared" si="6"/>
        <v>0</v>
      </c>
      <c r="Q23" s="62">
        <f t="shared" si="6"/>
        <v>0</v>
      </c>
      <c r="R23" s="62">
        <f t="shared" si="6"/>
        <v>0</v>
      </c>
      <c r="S23" s="62">
        <f t="shared" si="6"/>
        <v>0</v>
      </c>
      <c r="T23" s="62">
        <f t="shared" si="6"/>
        <v>0</v>
      </c>
      <c r="U23" s="62">
        <f t="shared" si="6"/>
        <v>0</v>
      </c>
      <c r="V23" s="62">
        <f t="shared" si="6"/>
        <v>0</v>
      </c>
      <c r="W23" s="62">
        <f t="shared" si="6"/>
        <v>0</v>
      </c>
      <c r="X23" s="62">
        <f t="shared" si="6"/>
        <v>0</v>
      </c>
      <c r="Y23" s="62">
        <f t="shared" si="6"/>
        <v>0</v>
      </c>
      <c r="Z23" s="62">
        <f t="shared" si="6"/>
        <v>0</v>
      </c>
      <c r="AA23" s="62">
        <f t="shared" si="6"/>
        <v>0</v>
      </c>
      <c r="AB23" s="62">
        <f t="shared" si="6"/>
        <v>0</v>
      </c>
      <c r="AC23" s="62">
        <f t="shared" si="6"/>
        <v>0</v>
      </c>
      <c r="AD23" s="62">
        <f t="shared" si="6"/>
        <v>0</v>
      </c>
      <c r="AE23" s="62">
        <f t="shared" si="6"/>
        <v>0</v>
      </c>
      <c r="AF23" s="62">
        <f t="shared" si="6"/>
        <v>0</v>
      </c>
      <c r="AG23" s="62">
        <f t="shared" si="6"/>
        <v>0</v>
      </c>
      <c r="AH23" s="62">
        <f t="shared" si="6"/>
        <v>0</v>
      </c>
      <c r="AI23" s="62">
        <f t="shared" si="6"/>
        <v>0</v>
      </c>
      <c r="AJ23" s="62">
        <f t="shared" si="6"/>
        <v>0</v>
      </c>
      <c r="AK23" s="62">
        <f t="shared" si="6"/>
        <v>0</v>
      </c>
      <c r="AL23" s="62">
        <f t="shared" si="6"/>
        <v>0</v>
      </c>
      <c r="AM23" s="62">
        <f t="shared" si="6"/>
        <v>0</v>
      </c>
      <c r="AN23" s="62">
        <f t="shared" si="6"/>
        <v>0</v>
      </c>
      <c r="AO23" s="62">
        <f t="shared" si="6"/>
        <v>0</v>
      </c>
      <c r="AP23" s="33">
        <f>'Cashflow Workings'!AP23</f>
        <v>0</v>
      </c>
      <c r="AQ23" s="33">
        <f>'Cashflow Workings'!AQ23</f>
        <v>0</v>
      </c>
      <c r="AR23" s="33">
        <f>'Cashflow Workings'!AR23</f>
        <v>0</v>
      </c>
      <c r="AS23" s="33">
        <f>'Cashflow Workings'!AS23</f>
        <v>0</v>
      </c>
      <c r="AT23" s="33">
        <f>'Cashflow Workings'!AT23</f>
        <v>0</v>
      </c>
      <c r="AU23" s="33">
        <f>'Cashflow Workings'!AU23</f>
        <v>0</v>
      </c>
      <c r="AV23" s="33">
        <f>'Cashflow Workings'!AV23</f>
        <v>0</v>
      </c>
      <c r="AW23" s="33">
        <f>'Cashflow Workings'!AW23</f>
        <v>0</v>
      </c>
      <c r="AX23" s="33">
        <f>'Cashflow Workings'!AX23</f>
        <v>0</v>
      </c>
      <c r="AY23" s="33">
        <f>'Cashflow Workings'!AY23</f>
        <v>0</v>
      </c>
      <c r="AZ23" s="33">
        <f>'Cashflow Workings'!AZ23</f>
        <v>0</v>
      </c>
      <c r="BA23" s="33">
        <f>'Cashflow Workings'!BA23</f>
        <v>0</v>
      </c>
      <c r="BC23" s="2">
        <f t="shared" si="5"/>
        <v>0</v>
      </c>
    </row>
    <row r="24" spans="1:55" ht="12.75" customHeight="1" x14ac:dyDescent="0.3">
      <c r="B24" s="63" t="s">
        <v>107</v>
      </c>
      <c r="C24" s="45">
        <f>'P_L Workings'!C91</f>
        <v>0</v>
      </c>
      <c r="D24" s="45">
        <f>'P_L Workings'!D91</f>
        <v>0</v>
      </c>
      <c r="E24" s="45">
        <f>'P_L Workings'!E91</f>
        <v>10357.142857142859</v>
      </c>
      <c r="F24" s="45">
        <f>'P_L Workings'!F91</f>
        <v>20714.285714285717</v>
      </c>
      <c r="G24" s="45">
        <f>'P_L Workings'!G91</f>
        <v>22142.857142857145</v>
      </c>
      <c r="H24" s="45">
        <f>'P_L Workings'!H91</f>
        <v>21428.571428571431</v>
      </c>
      <c r="I24" s="45">
        <f>'P_L Workings'!I91</f>
        <v>22142.857142857145</v>
      </c>
      <c r="J24" s="45">
        <f>'P_L Workings'!J91</f>
        <v>22142.857142857145</v>
      </c>
      <c r="K24" s="45">
        <f>'P_L Workings'!K91</f>
        <v>21428.571428571431</v>
      </c>
      <c r="L24" s="45">
        <f>'P_L Workings'!L91</f>
        <v>22142.857142857145</v>
      </c>
      <c r="M24" s="45">
        <f>'P_L Workings'!M91</f>
        <v>20714.285714285717</v>
      </c>
      <c r="N24" s="45">
        <f>'P_L Workings'!N91</f>
        <v>22142.857142857145</v>
      </c>
      <c r="O24" s="45">
        <f>'P_L Workings'!O91</f>
        <v>13571.428571428572</v>
      </c>
      <c r="P24" s="45">
        <f>'P_L Workings'!P91</f>
        <v>19285.714285714286</v>
      </c>
      <c r="Q24" s="45">
        <f>'P_L Workings'!Q91</f>
        <v>22142.857142857145</v>
      </c>
      <c r="R24" s="45">
        <f>'P_L Workings'!R91</f>
        <v>20714.285714285717</v>
      </c>
      <c r="S24" s="45">
        <f>'P_L Workings'!S91</f>
        <v>22142.857142857145</v>
      </c>
      <c r="T24" s="45">
        <f>'P_L Workings'!T91</f>
        <v>21428.571428571431</v>
      </c>
      <c r="U24" s="45">
        <f>'P_L Workings'!U91</f>
        <v>22142.857142857145</v>
      </c>
      <c r="V24" s="45">
        <f>'P_L Workings'!V91</f>
        <v>22142.857142857145</v>
      </c>
      <c r="W24" s="45">
        <f>'P_L Workings'!W91</f>
        <v>21428.571428571431</v>
      </c>
      <c r="X24" s="45">
        <f>'P_L Workings'!X91</f>
        <v>22142.857142857145</v>
      </c>
      <c r="Y24" s="45">
        <f>'P_L Workings'!Y91</f>
        <v>20714.285714285717</v>
      </c>
      <c r="Z24" s="45">
        <f>'P_L Workings'!Z91</f>
        <v>22142.857142857145</v>
      </c>
      <c r="AA24" s="45">
        <f>'P_L Workings'!AA91</f>
        <v>12857.142857142859</v>
      </c>
      <c r="AB24" s="45">
        <f>'P_L Workings'!AB91</f>
        <v>20000</v>
      </c>
      <c r="AC24" s="45">
        <f>'P_L Workings'!AC91</f>
        <v>22142.857142857145</v>
      </c>
      <c r="AD24" s="45">
        <f>'P_L Workings'!AD91</f>
        <v>20714.285714285717</v>
      </c>
      <c r="AE24" s="45">
        <f>'P_L Workings'!AE91</f>
        <v>22142.857142857145</v>
      </c>
      <c r="AF24" s="45">
        <f>'P_L Workings'!AF91</f>
        <v>21428.571428571431</v>
      </c>
      <c r="AG24" s="45">
        <f>'P_L Workings'!AG91</f>
        <v>22142.857142857145</v>
      </c>
      <c r="AH24" s="45">
        <f>'P_L Workings'!AH91</f>
        <v>22142.857142857145</v>
      </c>
      <c r="AI24" s="45">
        <f>'P_L Workings'!AI91</f>
        <v>21428.571428571431</v>
      </c>
      <c r="AJ24" s="45">
        <f>'P_L Workings'!AJ91</f>
        <v>22142.857142857145</v>
      </c>
      <c r="AK24" s="45">
        <f>'P_L Workings'!AK91</f>
        <v>20714.285714285717</v>
      </c>
      <c r="AL24" s="45">
        <f>'P_L Workings'!AL91</f>
        <v>22142.857142857145</v>
      </c>
      <c r="AM24" s="45">
        <f>'P_L Workings'!AM91</f>
        <v>13571.428571428572</v>
      </c>
      <c r="AN24" s="45">
        <f>'P_L Workings'!AN91</f>
        <v>19285.714285714286</v>
      </c>
      <c r="AO24" s="45">
        <f>'P_L Workings'!AO91</f>
        <v>22142.857142857145</v>
      </c>
      <c r="AP24" s="33">
        <f>'Cashflow Workings'!AP24</f>
        <v>20714.285714285717</v>
      </c>
      <c r="AQ24" s="33">
        <f>'Cashflow Workings'!AQ24</f>
        <v>22142.857142857145</v>
      </c>
      <c r="AR24" s="33">
        <f>'Cashflow Workings'!AR24</f>
        <v>21428.571428571431</v>
      </c>
      <c r="AS24" s="33">
        <f>'Cashflow Workings'!AS24</f>
        <v>22142.857142857145</v>
      </c>
      <c r="AT24" s="33">
        <f>'Cashflow Workings'!AT24</f>
        <v>22142.857142857145</v>
      </c>
      <c r="AU24" s="33">
        <f>'Cashflow Workings'!AU24</f>
        <v>21428.571428571431</v>
      </c>
      <c r="AV24" s="33">
        <f>'Cashflow Workings'!AV24</f>
        <v>22142.857142857145</v>
      </c>
      <c r="AW24" s="33">
        <f>'Cashflow Workings'!AW24</f>
        <v>20714.285714285717</v>
      </c>
      <c r="AX24" s="33">
        <f>'Cashflow Workings'!AX24</f>
        <v>22142.857142857145</v>
      </c>
      <c r="AY24" s="33">
        <f>'Cashflow Workings'!AY24</f>
        <v>13571.428571428572</v>
      </c>
      <c r="AZ24" s="33">
        <f>'Cashflow Workings'!AZ24</f>
        <v>19285.714285714286</v>
      </c>
      <c r="BA24" s="33">
        <f>'Cashflow Workings'!BA24</f>
        <v>22142.857142857145</v>
      </c>
      <c r="BC24" s="2">
        <f t="shared" si="5"/>
        <v>250000</v>
      </c>
    </row>
    <row r="25" spans="1:55" ht="12.75" customHeight="1" x14ac:dyDescent="0.3">
      <c r="B25" s="61" t="s">
        <v>166</v>
      </c>
      <c r="C25" s="45">
        <f t="shared" ref="C25:AO25" si="7">C24*0.175*0.5</f>
        <v>0</v>
      </c>
      <c r="D25" s="45">
        <f t="shared" si="7"/>
        <v>0</v>
      </c>
      <c r="E25" s="45">
        <f t="shared" si="7"/>
        <v>906.25000000000011</v>
      </c>
      <c r="F25" s="45">
        <f t="shared" si="7"/>
        <v>1812.5000000000002</v>
      </c>
      <c r="G25" s="45">
        <f t="shared" si="7"/>
        <v>1937.5</v>
      </c>
      <c r="H25" s="45">
        <f t="shared" si="7"/>
        <v>1875</v>
      </c>
      <c r="I25" s="45">
        <f t="shared" si="7"/>
        <v>1937.5</v>
      </c>
      <c r="J25" s="45">
        <f t="shared" si="7"/>
        <v>1937.5</v>
      </c>
      <c r="K25" s="45">
        <f t="shared" si="7"/>
        <v>1875</v>
      </c>
      <c r="L25" s="45">
        <f t="shared" si="7"/>
        <v>1937.5</v>
      </c>
      <c r="M25" s="45">
        <f t="shared" si="7"/>
        <v>1812.5000000000002</v>
      </c>
      <c r="N25" s="45">
        <f t="shared" si="7"/>
        <v>1937.5</v>
      </c>
      <c r="O25" s="45">
        <f t="shared" si="7"/>
        <v>1187.5</v>
      </c>
      <c r="P25" s="45">
        <f t="shared" si="7"/>
        <v>1687.5</v>
      </c>
      <c r="Q25" s="45">
        <f t="shared" si="7"/>
        <v>1937.5</v>
      </c>
      <c r="R25" s="45">
        <f t="shared" si="7"/>
        <v>1812.5000000000002</v>
      </c>
      <c r="S25" s="45">
        <f t="shared" si="7"/>
        <v>1937.5</v>
      </c>
      <c r="T25" s="45">
        <f t="shared" si="7"/>
        <v>1875</v>
      </c>
      <c r="U25" s="45">
        <f t="shared" si="7"/>
        <v>1937.5</v>
      </c>
      <c r="V25" s="45">
        <f t="shared" si="7"/>
        <v>1937.5</v>
      </c>
      <c r="W25" s="45">
        <f t="shared" si="7"/>
        <v>1875</v>
      </c>
      <c r="X25" s="45">
        <f t="shared" si="7"/>
        <v>1937.5</v>
      </c>
      <c r="Y25" s="45">
        <f t="shared" si="7"/>
        <v>1812.5000000000002</v>
      </c>
      <c r="Z25" s="45">
        <f t="shared" si="7"/>
        <v>1937.5</v>
      </c>
      <c r="AA25" s="45">
        <f t="shared" si="7"/>
        <v>1125</v>
      </c>
      <c r="AB25" s="45">
        <f t="shared" si="7"/>
        <v>1750</v>
      </c>
      <c r="AC25" s="45">
        <f t="shared" si="7"/>
        <v>1937.5</v>
      </c>
      <c r="AD25" s="45">
        <f t="shared" si="7"/>
        <v>1812.5000000000002</v>
      </c>
      <c r="AE25" s="45">
        <f t="shared" si="7"/>
        <v>1937.5</v>
      </c>
      <c r="AF25" s="45">
        <f t="shared" si="7"/>
        <v>1875</v>
      </c>
      <c r="AG25" s="45">
        <f t="shared" si="7"/>
        <v>1937.5</v>
      </c>
      <c r="AH25" s="45">
        <f t="shared" si="7"/>
        <v>1937.5</v>
      </c>
      <c r="AI25" s="45">
        <f t="shared" si="7"/>
        <v>1875</v>
      </c>
      <c r="AJ25" s="45">
        <f t="shared" si="7"/>
        <v>1937.5</v>
      </c>
      <c r="AK25" s="45">
        <f t="shared" si="7"/>
        <v>1812.5000000000002</v>
      </c>
      <c r="AL25" s="45">
        <f t="shared" si="7"/>
        <v>1937.5</v>
      </c>
      <c r="AM25" s="45">
        <f t="shared" si="7"/>
        <v>1187.5</v>
      </c>
      <c r="AN25" s="45">
        <f t="shared" si="7"/>
        <v>1687.5</v>
      </c>
      <c r="AO25" s="45">
        <f t="shared" si="7"/>
        <v>1937.5</v>
      </c>
      <c r="AP25" s="33">
        <f>'Cashflow Workings'!AP25</f>
        <v>1812.5000000000002</v>
      </c>
      <c r="AQ25" s="33">
        <f>'Cashflow Workings'!AQ25</f>
        <v>1937.5</v>
      </c>
      <c r="AR25" s="33">
        <f>'Cashflow Workings'!AR25</f>
        <v>1875</v>
      </c>
      <c r="AS25" s="33">
        <f>'Cashflow Workings'!AS25</f>
        <v>1937.5</v>
      </c>
      <c r="AT25" s="33">
        <f>'Cashflow Workings'!AT25</f>
        <v>1937.5</v>
      </c>
      <c r="AU25" s="33">
        <f>'Cashflow Workings'!AU25</f>
        <v>1875</v>
      </c>
      <c r="AV25" s="33">
        <f>'Cashflow Workings'!AV25</f>
        <v>1937.5</v>
      </c>
      <c r="AW25" s="33">
        <f>'Cashflow Workings'!AW25</f>
        <v>1812.5000000000002</v>
      </c>
      <c r="AX25" s="33">
        <f>'Cashflow Workings'!AX25</f>
        <v>1937.5</v>
      </c>
      <c r="AY25" s="33">
        <f>'Cashflow Workings'!AY25</f>
        <v>1187.5</v>
      </c>
      <c r="AZ25" s="33">
        <f>'Cashflow Workings'!AZ25</f>
        <v>1687.5</v>
      </c>
      <c r="BA25" s="33">
        <f>'Cashflow Workings'!BA25</f>
        <v>1937.5</v>
      </c>
      <c r="BC25" s="2">
        <f t="shared" si="5"/>
        <v>21875</v>
      </c>
    </row>
    <row r="26" spans="1:55" ht="12.75" customHeight="1" x14ac:dyDescent="0.3">
      <c r="B26" s="61" t="s">
        <v>167</v>
      </c>
      <c r="C26" s="45">
        <f>'P_L Workings'!C142</f>
        <v>0</v>
      </c>
      <c r="D26" s="45">
        <f>'P_L Workings'!D142</f>
        <v>0</v>
      </c>
      <c r="E26" s="45">
        <f>'P_L Workings'!E142</f>
        <v>296779.09794871794</v>
      </c>
      <c r="F26" s="45">
        <f>'P_L Workings'!F142</f>
        <v>1236989.6933333334</v>
      </c>
      <c r="G26" s="45">
        <f>'P_L Workings'!G142</f>
        <v>1285996.3733333333</v>
      </c>
      <c r="H26" s="45">
        <f>'P_L Workings'!H142</f>
        <v>1261493.0333333332</v>
      </c>
      <c r="I26" s="45">
        <f>'P_L Workings'!I142</f>
        <v>1285996.3733333333</v>
      </c>
      <c r="J26" s="45">
        <f>'P_L Workings'!J142</f>
        <v>1285996.3733333333</v>
      </c>
      <c r="K26" s="45">
        <f>'P_L Workings'!K142</f>
        <v>1261493.0333333332</v>
      </c>
      <c r="L26" s="45">
        <f>'P_L Workings'!L142</f>
        <v>1285996.3733333333</v>
      </c>
      <c r="M26" s="45">
        <f>'P_L Workings'!M142</f>
        <v>1236989.6933333334</v>
      </c>
      <c r="N26" s="45">
        <f>'P_L Workings'!N142</f>
        <v>1285996.3733333333</v>
      </c>
      <c r="O26" s="45">
        <f>'P_L Workings'!O142</f>
        <v>991956.29333333333</v>
      </c>
      <c r="P26" s="45">
        <f>'P_L Workings'!P142</f>
        <v>1187983.0133333334</v>
      </c>
      <c r="Q26" s="45">
        <f>'P_L Workings'!Q142</f>
        <v>1285996.3733333333</v>
      </c>
      <c r="R26" s="45">
        <f>'P_L Workings'!R142</f>
        <v>1236989.6933333334</v>
      </c>
      <c r="S26" s="45">
        <f>'P_L Workings'!S142</f>
        <v>1285996.3733333333</v>
      </c>
      <c r="T26" s="45">
        <f>'P_L Workings'!T142</f>
        <v>1261493.0333333332</v>
      </c>
      <c r="U26" s="45">
        <f>'P_L Workings'!U142</f>
        <v>1285996.3733333333</v>
      </c>
      <c r="V26" s="45">
        <f>'P_L Workings'!V142</f>
        <v>1285996.3733333333</v>
      </c>
      <c r="W26" s="45">
        <f>'P_L Workings'!W142</f>
        <v>1261493.0333333332</v>
      </c>
      <c r="X26" s="45">
        <f>'P_L Workings'!X142</f>
        <v>1285996.3733333333</v>
      </c>
      <c r="Y26" s="45">
        <f>'P_L Workings'!Y142</f>
        <v>1236989.6933333334</v>
      </c>
      <c r="Z26" s="45">
        <f>'P_L Workings'!Z142</f>
        <v>1285996.3733333333</v>
      </c>
      <c r="AA26" s="45">
        <f>'P_L Workings'!AA142</f>
        <v>967452.95333333337</v>
      </c>
      <c r="AB26" s="45">
        <f>'P_L Workings'!AB142</f>
        <v>1212486.3533333333</v>
      </c>
      <c r="AC26" s="45">
        <f>'P_L Workings'!AC142</f>
        <v>1285996.3733333333</v>
      </c>
      <c r="AD26" s="45">
        <f>'P_L Workings'!AD142</f>
        <v>1236989.6933333334</v>
      </c>
      <c r="AE26" s="45">
        <f>'P_L Workings'!AE142</f>
        <v>1285996.3733333333</v>
      </c>
      <c r="AF26" s="45">
        <f>'P_L Workings'!AF142</f>
        <v>1261493.0333333332</v>
      </c>
      <c r="AG26" s="45">
        <f>'P_L Workings'!AG142</f>
        <v>1285996.3733333333</v>
      </c>
      <c r="AH26" s="45">
        <f>'P_L Workings'!AH142</f>
        <v>1285996.3733333333</v>
      </c>
      <c r="AI26" s="45">
        <f>'P_L Workings'!AI142</f>
        <v>1261493.0333333332</v>
      </c>
      <c r="AJ26" s="45">
        <f>'P_L Workings'!AJ142</f>
        <v>1285996.3733333333</v>
      </c>
      <c r="AK26" s="45">
        <f>'P_L Workings'!AK142</f>
        <v>1236989.6933333334</v>
      </c>
      <c r="AL26" s="45">
        <f>'P_L Workings'!AL142</f>
        <v>1285996.3733333333</v>
      </c>
      <c r="AM26" s="45">
        <f>'P_L Workings'!AM142</f>
        <v>991956.29333333333</v>
      </c>
      <c r="AN26" s="45">
        <f>'P_L Workings'!AN142</f>
        <v>1187983.0133333334</v>
      </c>
      <c r="AO26" s="45">
        <f>'P_L Workings'!AO142</f>
        <v>1285996.3733333333</v>
      </c>
      <c r="AP26" s="33">
        <f>'Cashflow Workings'!AP26</f>
        <v>1236989.6933333334</v>
      </c>
      <c r="AQ26" s="33">
        <f>'Cashflow Workings'!AQ26</f>
        <v>1285996.3733333333</v>
      </c>
      <c r="AR26" s="33">
        <f>'Cashflow Workings'!AR26</f>
        <v>1261493.0333333332</v>
      </c>
      <c r="AS26" s="33">
        <f>'Cashflow Workings'!AS26</f>
        <v>1285996.3733333333</v>
      </c>
      <c r="AT26" s="33">
        <f>'Cashflow Workings'!AT26</f>
        <v>1285996.3733333333</v>
      </c>
      <c r="AU26" s="33">
        <f>'Cashflow Workings'!AU26</f>
        <v>1261493.0333333332</v>
      </c>
      <c r="AV26" s="33">
        <f>'Cashflow Workings'!AV26</f>
        <v>1285996.3733333333</v>
      </c>
      <c r="AW26" s="33">
        <f>'Cashflow Workings'!AW26</f>
        <v>1236989.6933333334</v>
      </c>
      <c r="AX26" s="33">
        <f>'Cashflow Workings'!AX26</f>
        <v>1285996.3733333333</v>
      </c>
      <c r="AY26" s="33">
        <f>'Cashflow Workings'!AY26</f>
        <v>991956.29333333333</v>
      </c>
      <c r="AZ26" s="33">
        <f>'Cashflow Workings'!AZ26</f>
        <v>1187983.0133333334</v>
      </c>
      <c r="BA26" s="33">
        <f>'Cashflow Workings'!BA26</f>
        <v>1285996.3733333333</v>
      </c>
      <c r="BC26" s="2">
        <f t="shared" si="5"/>
        <v>14892882.999999998</v>
      </c>
    </row>
    <row r="27" spans="1:55" ht="12.75" customHeight="1" x14ac:dyDescent="0.3">
      <c r="B27" s="61" t="s">
        <v>168</v>
      </c>
      <c r="C27" s="45">
        <f t="shared" ref="C27:AO27" si="8">C26*0.1</f>
        <v>0</v>
      </c>
      <c r="D27" s="45">
        <f t="shared" si="8"/>
        <v>0</v>
      </c>
      <c r="E27" s="45">
        <f t="shared" si="8"/>
        <v>29677.909794871797</v>
      </c>
      <c r="F27" s="45">
        <f t="shared" si="8"/>
        <v>123698.96933333334</v>
      </c>
      <c r="G27" s="45">
        <f t="shared" si="8"/>
        <v>128599.63733333333</v>
      </c>
      <c r="H27" s="45">
        <f t="shared" si="8"/>
        <v>126149.30333333333</v>
      </c>
      <c r="I27" s="45">
        <f t="shared" si="8"/>
        <v>128599.63733333333</v>
      </c>
      <c r="J27" s="45">
        <f t="shared" si="8"/>
        <v>128599.63733333333</v>
      </c>
      <c r="K27" s="45">
        <f t="shared" si="8"/>
        <v>126149.30333333333</v>
      </c>
      <c r="L27" s="45">
        <f t="shared" si="8"/>
        <v>128599.63733333333</v>
      </c>
      <c r="M27" s="45">
        <f t="shared" si="8"/>
        <v>123698.96933333334</v>
      </c>
      <c r="N27" s="45">
        <f t="shared" si="8"/>
        <v>128599.63733333333</v>
      </c>
      <c r="O27" s="45">
        <f t="shared" si="8"/>
        <v>99195.629333333345</v>
      </c>
      <c r="P27" s="45">
        <f t="shared" si="8"/>
        <v>118798.30133333335</v>
      </c>
      <c r="Q27" s="45">
        <f t="shared" si="8"/>
        <v>128599.63733333333</v>
      </c>
      <c r="R27" s="45">
        <f t="shared" si="8"/>
        <v>123698.96933333334</v>
      </c>
      <c r="S27" s="45">
        <f t="shared" si="8"/>
        <v>128599.63733333333</v>
      </c>
      <c r="T27" s="45">
        <f t="shared" si="8"/>
        <v>126149.30333333333</v>
      </c>
      <c r="U27" s="45">
        <f t="shared" si="8"/>
        <v>128599.63733333333</v>
      </c>
      <c r="V27" s="45">
        <f t="shared" si="8"/>
        <v>128599.63733333333</v>
      </c>
      <c r="W27" s="45">
        <f t="shared" si="8"/>
        <v>126149.30333333333</v>
      </c>
      <c r="X27" s="45">
        <f t="shared" si="8"/>
        <v>128599.63733333333</v>
      </c>
      <c r="Y27" s="45">
        <f t="shared" si="8"/>
        <v>123698.96933333334</v>
      </c>
      <c r="Z27" s="45">
        <f t="shared" si="8"/>
        <v>128599.63733333333</v>
      </c>
      <c r="AA27" s="45">
        <f t="shared" si="8"/>
        <v>96745.295333333343</v>
      </c>
      <c r="AB27" s="45">
        <f t="shared" si="8"/>
        <v>121248.63533333334</v>
      </c>
      <c r="AC27" s="45">
        <f t="shared" si="8"/>
        <v>128599.63733333333</v>
      </c>
      <c r="AD27" s="45">
        <f t="shared" si="8"/>
        <v>123698.96933333334</v>
      </c>
      <c r="AE27" s="45">
        <f t="shared" si="8"/>
        <v>128599.63733333333</v>
      </c>
      <c r="AF27" s="45">
        <f t="shared" si="8"/>
        <v>126149.30333333333</v>
      </c>
      <c r="AG27" s="45">
        <f t="shared" si="8"/>
        <v>128599.63733333333</v>
      </c>
      <c r="AH27" s="45">
        <f t="shared" si="8"/>
        <v>128599.63733333333</v>
      </c>
      <c r="AI27" s="45">
        <f t="shared" si="8"/>
        <v>126149.30333333333</v>
      </c>
      <c r="AJ27" s="45">
        <f t="shared" si="8"/>
        <v>128599.63733333333</v>
      </c>
      <c r="AK27" s="45">
        <f t="shared" si="8"/>
        <v>123698.96933333334</v>
      </c>
      <c r="AL27" s="45">
        <f t="shared" si="8"/>
        <v>128599.63733333333</v>
      </c>
      <c r="AM27" s="45">
        <f t="shared" si="8"/>
        <v>99195.629333333345</v>
      </c>
      <c r="AN27" s="45">
        <f t="shared" si="8"/>
        <v>118798.30133333335</v>
      </c>
      <c r="AO27" s="45">
        <f t="shared" si="8"/>
        <v>128599.63733333333</v>
      </c>
      <c r="AP27" s="33">
        <f>'Cashflow Workings'!AP27</f>
        <v>123698.96933333334</v>
      </c>
      <c r="AQ27" s="33">
        <f>'Cashflow Workings'!AQ27</f>
        <v>128599.63733333333</v>
      </c>
      <c r="AR27" s="33">
        <f>'Cashflow Workings'!AR27</f>
        <v>126149.30333333333</v>
      </c>
      <c r="AS27" s="33">
        <f>'Cashflow Workings'!AS27</f>
        <v>128599.63733333333</v>
      </c>
      <c r="AT27" s="33">
        <f>'Cashflow Workings'!AT27</f>
        <v>128599.63733333333</v>
      </c>
      <c r="AU27" s="33">
        <f>'Cashflow Workings'!AU27</f>
        <v>126149.30333333333</v>
      </c>
      <c r="AV27" s="33">
        <f>'Cashflow Workings'!AV27</f>
        <v>128599.63733333333</v>
      </c>
      <c r="AW27" s="33">
        <f>'Cashflow Workings'!AW27</f>
        <v>123698.96933333334</v>
      </c>
      <c r="AX27" s="33">
        <f>'Cashflow Workings'!AX27</f>
        <v>128599.63733333333</v>
      </c>
      <c r="AY27" s="33">
        <f>'Cashflow Workings'!AY27</f>
        <v>99195.629333333345</v>
      </c>
      <c r="AZ27" s="33">
        <f>'Cashflow Workings'!AZ27</f>
        <v>118798.30133333335</v>
      </c>
      <c r="BA27" s="33">
        <f>'Cashflow Workings'!BA27</f>
        <v>128599.63733333333</v>
      </c>
      <c r="BC27" s="2">
        <f t="shared" si="5"/>
        <v>1489288.3</v>
      </c>
    </row>
    <row r="28" spans="1:55" ht="12.75" customHeight="1" x14ac:dyDescent="0.3">
      <c r="B28" s="61" t="s">
        <v>169</v>
      </c>
      <c r="C28" s="45">
        <f>'P_L Workings'!C149</f>
        <v>0</v>
      </c>
      <c r="D28" s="45">
        <f>'P_L Workings'!D149</f>
        <v>0</v>
      </c>
      <c r="E28" s="45">
        <f>'P_L Workings'!E149</f>
        <v>600000</v>
      </c>
      <c r="F28" s="45">
        <f>'P_L Workings'!F149</f>
        <v>28750</v>
      </c>
      <c r="G28" s="45">
        <f>'P_L Workings'!G149</f>
        <v>28750</v>
      </c>
      <c r="H28" s="45">
        <f>'P_L Workings'!H149</f>
        <v>28750</v>
      </c>
      <c r="I28" s="45">
        <f>'P_L Workings'!I149</f>
        <v>28750</v>
      </c>
      <c r="J28" s="45">
        <f>'P_L Workings'!J149</f>
        <v>28750</v>
      </c>
      <c r="K28" s="45">
        <f>'P_L Workings'!K149</f>
        <v>28750</v>
      </c>
      <c r="L28" s="45">
        <f>'P_L Workings'!L149</f>
        <v>28750</v>
      </c>
      <c r="M28" s="45">
        <f>'P_L Workings'!M149</f>
        <v>28750</v>
      </c>
      <c r="N28" s="45">
        <f>'P_L Workings'!N149</f>
        <v>28750</v>
      </c>
      <c r="O28" s="45">
        <f>'P_L Workings'!O149</f>
        <v>28750</v>
      </c>
      <c r="P28" s="45">
        <f>'P_L Workings'!P149</f>
        <v>28750</v>
      </c>
      <c r="Q28" s="45">
        <f>'P_L Workings'!Q149</f>
        <v>28750</v>
      </c>
      <c r="R28" s="45">
        <f>'P_L Workings'!R149</f>
        <v>28750</v>
      </c>
      <c r="S28" s="45">
        <f>'P_L Workings'!S149</f>
        <v>28750</v>
      </c>
      <c r="T28" s="45">
        <f>'P_L Workings'!T149</f>
        <v>28750</v>
      </c>
      <c r="U28" s="45">
        <f>'P_L Workings'!U149</f>
        <v>28750</v>
      </c>
      <c r="V28" s="45">
        <f>'P_L Workings'!V149</f>
        <v>28750</v>
      </c>
      <c r="W28" s="45">
        <f>'P_L Workings'!W149</f>
        <v>28750</v>
      </c>
      <c r="X28" s="45">
        <f>'P_L Workings'!X149</f>
        <v>28750</v>
      </c>
      <c r="Y28" s="45">
        <f>'P_L Workings'!Y149</f>
        <v>28750</v>
      </c>
      <c r="Z28" s="45">
        <f>'P_L Workings'!Z149</f>
        <v>28750</v>
      </c>
      <c r="AA28" s="45">
        <f>'P_L Workings'!AA149</f>
        <v>28750</v>
      </c>
      <c r="AB28" s="45">
        <f>'P_L Workings'!AB149</f>
        <v>28750</v>
      </c>
      <c r="AC28" s="45">
        <f>'P_L Workings'!AC149</f>
        <v>28750</v>
      </c>
      <c r="AD28" s="45">
        <f>'P_L Workings'!AD149</f>
        <v>28750</v>
      </c>
      <c r="AE28" s="45">
        <f>'P_L Workings'!AE149</f>
        <v>28750</v>
      </c>
      <c r="AF28" s="45">
        <f>'P_L Workings'!AF149</f>
        <v>28750</v>
      </c>
      <c r="AG28" s="45">
        <f>'P_L Workings'!AG149</f>
        <v>28750</v>
      </c>
      <c r="AH28" s="45">
        <f>'P_L Workings'!AH149</f>
        <v>28750</v>
      </c>
      <c r="AI28" s="45">
        <f>'P_L Workings'!AI149</f>
        <v>28750</v>
      </c>
      <c r="AJ28" s="45">
        <f>'P_L Workings'!AJ149</f>
        <v>28750</v>
      </c>
      <c r="AK28" s="45">
        <f>'P_L Workings'!AK149</f>
        <v>28750</v>
      </c>
      <c r="AL28" s="45">
        <f>'P_L Workings'!AL149</f>
        <v>28750</v>
      </c>
      <c r="AM28" s="45">
        <f>'P_L Workings'!AM149</f>
        <v>28750</v>
      </c>
      <c r="AN28" s="45">
        <f>'P_L Workings'!AN149</f>
        <v>28750</v>
      </c>
      <c r="AO28" s="45">
        <f>'P_L Workings'!AO149</f>
        <v>28750</v>
      </c>
      <c r="AP28" s="33">
        <f>'Cashflow Workings'!AP28</f>
        <v>28750</v>
      </c>
      <c r="AQ28" s="33">
        <f>'Cashflow Workings'!AQ28</f>
        <v>28750</v>
      </c>
      <c r="AR28" s="33">
        <f>'Cashflow Workings'!AR28</f>
        <v>28750</v>
      </c>
      <c r="AS28" s="33">
        <f>'Cashflow Workings'!AS28</f>
        <v>28750</v>
      </c>
      <c r="AT28" s="33">
        <f>'Cashflow Workings'!AT28</f>
        <v>28750</v>
      </c>
      <c r="AU28" s="33">
        <f>'Cashflow Workings'!AU28</f>
        <v>28750</v>
      </c>
      <c r="AV28" s="33">
        <f>'Cashflow Workings'!AV28</f>
        <v>28750</v>
      </c>
      <c r="AW28" s="33">
        <f>'Cashflow Workings'!AW28</f>
        <v>28750</v>
      </c>
      <c r="AX28" s="33">
        <f>'Cashflow Workings'!AX28</f>
        <v>28750</v>
      </c>
      <c r="AY28" s="33">
        <f>'Cashflow Workings'!AY28</f>
        <v>28750</v>
      </c>
      <c r="AZ28" s="33">
        <f>'Cashflow Workings'!AZ28</f>
        <v>28750</v>
      </c>
      <c r="BA28" s="33">
        <f>'Cashflow Workings'!BA28</f>
        <v>28750</v>
      </c>
      <c r="BC28" s="2">
        <f t="shared" si="5"/>
        <v>345000</v>
      </c>
    </row>
    <row r="29" spans="1:55" ht="12.75" customHeight="1" x14ac:dyDescent="0.3">
      <c r="B29" s="61" t="s">
        <v>170</v>
      </c>
      <c r="C29" s="45">
        <f t="shared" ref="C29:AO29" si="9">C28*0.175</f>
        <v>0</v>
      </c>
      <c r="D29" s="45">
        <f t="shared" si="9"/>
        <v>0</v>
      </c>
      <c r="E29" s="45">
        <f t="shared" si="9"/>
        <v>105000</v>
      </c>
      <c r="F29" s="45">
        <f t="shared" si="9"/>
        <v>5031.25</v>
      </c>
      <c r="G29" s="45">
        <f t="shared" si="9"/>
        <v>5031.25</v>
      </c>
      <c r="H29" s="45">
        <f t="shared" si="9"/>
        <v>5031.25</v>
      </c>
      <c r="I29" s="45">
        <f t="shared" si="9"/>
        <v>5031.25</v>
      </c>
      <c r="J29" s="45">
        <f t="shared" si="9"/>
        <v>5031.25</v>
      </c>
      <c r="K29" s="45">
        <f t="shared" si="9"/>
        <v>5031.25</v>
      </c>
      <c r="L29" s="45">
        <f t="shared" si="9"/>
        <v>5031.25</v>
      </c>
      <c r="M29" s="45">
        <f t="shared" si="9"/>
        <v>5031.25</v>
      </c>
      <c r="N29" s="45">
        <f t="shared" si="9"/>
        <v>5031.25</v>
      </c>
      <c r="O29" s="45">
        <f t="shared" si="9"/>
        <v>5031.25</v>
      </c>
      <c r="P29" s="45">
        <f t="shared" si="9"/>
        <v>5031.25</v>
      </c>
      <c r="Q29" s="45">
        <f t="shared" si="9"/>
        <v>5031.25</v>
      </c>
      <c r="R29" s="45">
        <f t="shared" si="9"/>
        <v>5031.25</v>
      </c>
      <c r="S29" s="45">
        <f t="shared" si="9"/>
        <v>5031.25</v>
      </c>
      <c r="T29" s="45">
        <f t="shared" si="9"/>
        <v>5031.25</v>
      </c>
      <c r="U29" s="45">
        <f t="shared" si="9"/>
        <v>5031.25</v>
      </c>
      <c r="V29" s="45">
        <f t="shared" si="9"/>
        <v>5031.25</v>
      </c>
      <c r="W29" s="45">
        <f t="shared" si="9"/>
        <v>5031.25</v>
      </c>
      <c r="X29" s="45">
        <f t="shared" si="9"/>
        <v>5031.25</v>
      </c>
      <c r="Y29" s="45">
        <f t="shared" si="9"/>
        <v>5031.25</v>
      </c>
      <c r="Z29" s="45">
        <f t="shared" si="9"/>
        <v>5031.25</v>
      </c>
      <c r="AA29" s="45">
        <f t="shared" si="9"/>
        <v>5031.25</v>
      </c>
      <c r="AB29" s="45">
        <f t="shared" si="9"/>
        <v>5031.25</v>
      </c>
      <c r="AC29" s="45">
        <f t="shared" si="9"/>
        <v>5031.25</v>
      </c>
      <c r="AD29" s="45">
        <f t="shared" si="9"/>
        <v>5031.25</v>
      </c>
      <c r="AE29" s="45">
        <f t="shared" si="9"/>
        <v>5031.25</v>
      </c>
      <c r="AF29" s="45">
        <f t="shared" si="9"/>
        <v>5031.25</v>
      </c>
      <c r="AG29" s="45">
        <f t="shared" si="9"/>
        <v>5031.25</v>
      </c>
      <c r="AH29" s="45">
        <f t="shared" si="9"/>
        <v>5031.25</v>
      </c>
      <c r="AI29" s="45">
        <f t="shared" si="9"/>
        <v>5031.25</v>
      </c>
      <c r="AJ29" s="45">
        <f t="shared" si="9"/>
        <v>5031.25</v>
      </c>
      <c r="AK29" s="45">
        <f t="shared" si="9"/>
        <v>5031.25</v>
      </c>
      <c r="AL29" s="45">
        <f t="shared" si="9"/>
        <v>5031.25</v>
      </c>
      <c r="AM29" s="45">
        <f t="shared" si="9"/>
        <v>5031.25</v>
      </c>
      <c r="AN29" s="45">
        <f t="shared" si="9"/>
        <v>5031.25</v>
      </c>
      <c r="AO29" s="45">
        <f t="shared" si="9"/>
        <v>5031.25</v>
      </c>
      <c r="AP29" s="33">
        <f>'Cashflow Workings'!AP29</f>
        <v>5031.25</v>
      </c>
      <c r="AQ29" s="33">
        <f>'Cashflow Workings'!AQ29</f>
        <v>5031.25</v>
      </c>
      <c r="AR29" s="33">
        <f>'Cashflow Workings'!AR29</f>
        <v>5031.25</v>
      </c>
      <c r="AS29" s="33">
        <f>'Cashflow Workings'!AS29</f>
        <v>5031.25</v>
      </c>
      <c r="AT29" s="33">
        <f>'Cashflow Workings'!AT29</f>
        <v>5031.25</v>
      </c>
      <c r="AU29" s="33">
        <f>'Cashflow Workings'!AU29</f>
        <v>5031.25</v>
      </c>
      <c r="AV29" s="33">
        <f>'Cashflow Workings'!AV29</f>
        <v>5031.25</v>
      </c>
      <c r="AW29" s="33">
        <f>'Cashflow Workings'!AW29</f>
        <v>5031.25</v>
      </c>
      <c r="AX29" s="33">
        <f>'Cashflow Workings'!AX29</f>
        <v>5031.25</v>
      </c>
      <c r="AY29" s="33">
        <f>'Cashflow Workings'!AY29</f>
        <v>5031.25</v>
      </c>
      <c r="AZ29" s="33">
        <f>'Cashflow Workings'!AZ29</f>
        <v>5031.25</v>
      </c>
      <c r="BA29" s="33">
        <f>'Cashflow Workings'!BA29</f>
        <v>5031.25</v>
      </c>
      <c r="BC29" s="2">
        <f t="shared" si="5"/>
        <v>60375</v>
      </c>
    </row>
    <row r="30" spans="1:55" ht="12.75" customHeight="1" x14ac:dyDescent="0.3">
      <c r="B30" s="61" t="s">
        <v>171</v>
      </c>
      <c r="C30" s="45">
        <f>'P_L Workings'!C157</f>
        <v>0</v>
      </c>
      <c r="D30" s="45">
        <f>'P_L Workings'!D157</f>
        <v>0</v>
      </c>
      <c r="E30" s="45">
        <f>'P_L Workings'!E157</f>
        <v>27250</v>
      </c>
      <c r="F30" s="45">
        <f>'P_L Workings'!F157</f>
        <v>54145.833333333328</v>
      </c>
      <c r="G30" s="45">
        <f>'P_L Workings'!G157</f>
        <v>54145.833333333328</v>
      </c>
      <c r="H30" s="45">
        <f>'P_L Workings'!H157</f>
        <v>54145.833333333328</v>
      </c>
      <c r="I30" s="45">
        <f>'P_L Workings'!I157</f>
        <v>54145.833333333328</v>
      </c>
      <c r="J30" s="45">
        <f>'P_L Workings'!J157</f>
        <v>54145.833333333328</v>
      </c>
      <c r="K30" s="45">
        <f>'P_L Workings'!K157</f>
        <v>54145.833333333328</v>
      </c>
      <c r="L30" s="45">
        <f>'P_L Workings'!L157</f>
        <v>54145.833333333328</v>
      </c>
      <c r="M30" s="45">
        <f>'P_L Workings'!M157</f>
        <v>54145.833333333328</v>
      </c>
      <c r="N30" s="45">
        <f>'P_L Workings'!N157</f>
        <v>54145.833333333328</v>
      </c>
      <c r="O30" s="45">
        <f>'P_L Workings'!O157</f>
        <v>54145.833333333328</v>
      </c>
      <c r="P30" s="45">
        <f>'P_L Workings'!P157</f>
        <v>54145.833333333328</v>
      </c>
      <c r="Q30" s="45">
        <f>'P_L Workings'!Q157</f>
        <v>54145.833333333328</v>
      </c>
      <c r="R30" s="45">
        <f>'P_L Workings'!R157</f>
        <v>54145.833333333328</v>
      </c>
      <c r="S30" s="45">
        <f>'P_L Workings'!S157</f>
        <v>54145.833333333328</v>
      </c>
      <c r="T30" s="45">
        <f>'P_L Workings'!T157</f>
        <v>54145.833333333328</v>
      </c>
      <c r="U30" s="45">
        <f>'P_L Workings'!U157</f>
        <v>54145.833333333328</v>
      </c>
      <c r="V30" s="45">
        <f>'P_L Workings'!V157</f>
        <v>54145.833333333328</v>
      </c>
      <c r="W30" s="45">
        <f>'P_L Workings'!W157</f>
        <v>54145.833333333328</v>
      </c>
      <c r="X30" s="45">
        <f>'P_L Workings'!X157</f>
        <v>54145.833333333328</v>
      </c>
      <c r="Y30" s="45">
        <f>'P_L Workings'!Y157</f>
        <v>54145.833333333328</v>
      </c>
      <c r="Z30" s="45">
        <f>'P_L Workings'!Z157</f>
        <v>54145.833333333328</v>
      </c>
      <c r="AA30" s="45">
        <f>'P_L Workings'!AA157</f>
        <v>54145.833333333328</v>
      </c>
      <c r="AB30" s="45">
        <f>'P_L Workings'!AB157</f>
        <v>54145.833333333328</v>
      </c>
      <c r="AC30" s="45">
        <f>'P_L Workings'!AC157</f>
        <v>54145.833333333328</v>
      </c>
      <c r="AD30" s="45">
        <f>'P_L Workings'!AD157</f>
        <v>54145.833333333328</v>
      </c>
      <c r="AE30" s="45">
        <f>'P_L Workings'!AE157</f>
        <v>54145.833333333328</v>
      </c>
      <c r="AF30" s="45">
        <f>'P_L Workings'!AF157</f>
        <v>54145.833333333328</v>
      </c>
      <c r="AG30" s="45">
        <f>'P_L Workings'!AG157</f>
        <v>54145.833333333328</v>
      </c>
      <c r="AH30" s="45">
        <f>'P_L Workings'!AH157</f>
        <v>54145.833333333328</v>
      </c>
      <c r="AI30" s="45">
        <f>'P_L Workings'!AI157</f>
        <v>54145.833333333328</v>
      </c>
      <c r="AJ30" s="45">
        <f>'P_L Workings'!AJ157</f>
        <v>54145.833333333328</v>
      </c>
      <c r="AK30" s="45">
        <f>'P_L Workings'!AK157</f>
        <v>54145.833333333328</v>
      </c>
      <c r="AL30" s="45">
        <f>'P_L Workings'!AL157</f>
        <v>54145.833333333328</v>
      </c>
      <c r="AM30" s="45">
        <f>'P_L Workings'!AM157</f>
        <v>54145.833333333328</v>
      </c>
      <c r="AN30" s="45">
        <f>'P_L Workings'!AN157</f>
        <v>54145.833333333328</v>
      </c>
      <c r="AO30" s="45">
        <f>'P_L Workings'!AO157</f>
        <v>54145.833333333328</v>
      </c>
      <c r="AP30" s="33">
        <f>'Cashflow Workings'!AP30</f>
        <v>54145.833333333328</v>
      </c>
      <c r="AQ30" s="33">
        <f>'Cashflow Workings'!AQ30</f>
        <v>54145.833333333328</v>
      </c>
      <c r="AR30" s="33">
        <f>'Cashflow Workings'!AR30</f>
        <v>54145.833333333328</v>
      </c>
      <c r="AS30" s="33">
        <f>'Cashflow Workings'!AS30</f>
        <v>54145.833333333328</v>
      </c>
      <c r="AT30" s="33">
        <f>'Cashflow Workings'!AT30</f>
        <v>54145.833333333328</v>
      </c>
      <c r="AU30" s="33">
        <f>'Cashflow Workings'!AU30</f>
        <v>54145.833333333328</v>
      </c>
      <c r="AV30" s="33">
        <f>'Cashflow Workings'!AV30</f>
        <v>54145.833333333328</v>
      </c>
      <c r="AW30" s="33">
        <f>'Cashflow Workings'!AW30</f>
        <v>54145.833333333328</v>
      </c>
      <c r="AX30" s="33">
        <f>'Cashflow Workings'!AX30</f>
        <v>54145.833333333328</v>
      </c>
      <c r="AY30" s="33">
        <f>'Cashflow Workings'!AY30</f>
        <v>54145.833333333328</v>
      </c>
      <c r="AZ30" s="33">
        <f>'Cashflow Workings'!AZ30</f>
        <v>54145.833333333328</v>
      </c>
      <c r="BA30" s="33">
        <f>'Cashflow Workings'!BA30</f>
        <v>54145.833333333328</v>
      </c>
      <c r="BC30" s="2">
        <f t="shared" si="5"/>
        <v>649750</v>
      </c>
    </row>
    <row r="31" spans="1:55" ht="12.75" customHeight="1" x14ac:dyDescent="0.3">
      <c r="B31" s="61" t="s">
        <v>172</v>
      </c>
      <c r="C31" s="45">
        <f t="shared" ref="C31:AO31" si="10">C30*0.175</f>
        <v>0</v>
      </c>
      <c r="D31" s="45">
        <f t="shared" si="10"/>
        <v>0</v>
      </c>
      <c r="E31" s="45">
        <f t="shared" si="10"/>
        <v>4768.75</v>
      </c>
      <c r="F31" s="45">
        <f t="shared" si="10"/>
        <v>9475.5208333333321</v>
      </c>
      <c r="G31" s="45">
        <f t="shared" si="10"/>
        <v>9475.5208333333321</v>
      </c>
      <c r="H31" s="45">
        <f t="shared" si="10"/>
        <v>9475.5208333333321</v>
      </c>
      <c r="I31" s="45">
        <f t="shared" si="10"/>
        <v>9475.5208333333321</v>
      </c>
      <c r="J31" s="45">
        <f t="shared" si="10"/>
        <v>9475.5208333333321</v>
      </c>
      <c r="K31" s="45">
        <f t="shared" si="10"/>
        <v>9475.5208333333321</v>
      </c>
      <c r="L31" s="45">
        <f t="shared" si="10"/>
        <v>9475.5208333333321</v>
      </c>
      <c r="M31" s="45">
        <f t="shared" si="10"/>
        <v>9475.5208333333321</v>
      </c>
      <c r="N31" s="45">
        <f t="shared" si="10"/>
        <v>9475.5208333333321</v>
      </c>
      <c r="O31" s="45">
        <f t="shared" si="10"/>
        <v>9475.5208333333321</v>
      </c>
      <c r="P31" s="45">
        <f t="shared" si="10"/>
        <v>9475.5208333333321</v>
      </c>
      <c r="Q31" s="45">
        <f t="shared" si="10"/>
        <v>9475.5208333333321</v>
      </c>
      <c r="R31" s="45">
        <f t="shared" si="10"/>
        <v>9475.5208333333321</v>
      </c>
      <c r="S31" s="45">
        <f t="shared" si="10"/>
        <v>9475.5208333333321</v>
      </c>
      <c r="T31" s="45">
        <f t="shared" si="10"/>
        <v>9475.5208333333321</v>
      </c>
      <c r="U31" s="45">
        <f t="shared" si="10"/>
        <v>9475.5208333333321</v>
      </c>
      <c r="V31" s="45">
        <f t="shared" si="10"/>
        <v>9475.5208333333321</v>
      </c>
      <c r="W31" s="45">
        <f t="shared" si="10"/>
        <v>9475.5208333333321</v>
      </c>
      <c r="X31" s="45">
        <f t="shared" si="10"/>
        <v>9475.5208333333321</v>
      </c>
      <c r="Y31" s="45">
        <f t="shared" si="10"/>
        <v>9475.5208333333321</v>
      </c>
      <c r="Z31" s="45">
        <f t="shared" si="10"/>
        <v>9475.5208333333321</v>
      </c>
      <c r="AA31" s="45">
        <f t="shared" si="10"/>
        <v>9475.5208333333321</v>
      </c>
      <c r="AB31" s="45">
        <f t="shared" si="10"/>
        <v>9475.5208333333321</v>
      </c>
      <c r="AC31" s="45">
        <f t="shared" si="10"/>
        <v>9475.5208333333321</v>
      </c>
      <c r="AD31" s="45">
        <f t="shared" si="10"/>
        <v>9475.5208333333321</v>
      </c>
      <c r="AE31" s="45">
        <f t="shared" si="10"/>
        <v>9475.5208333333321</v>
      </c>
      <c r="AF31" s="45">
        <f t="shared" si="10"/>
        <v>9475.5208333333321</v>
      </c>
      <c r="AG31" s="45">
        <f t="shared" si="10"/>
        <v>9475.5208333333321</v>
      </c>
      <c r="AH31" s="45">
        <f t="shared" si="10"/>
        <v>9475.5208333333321</v>
      </c>
      <c r="AI31" s="45">
        <f t="shared" si="10"/>
        <v>9475.5208333333321</v>
      </c>
      <c r="AJ31" s="45">
        <f t="shared" si="10"/>
        <v>9475.5208333333321</v>
      </c>
      <c r="AK31" s="45">
        <f t="shared" si="10"/>
        <v>9475.5208333333321</v>
      </c>
      <c r="AL31" s="45">
        <f t="shared" si="10"/>
        <v>9475.5208333333321</v>
      </c>
      <c r="AM31" s="45">
        <f t="shared" si="10"/>
        <v>9475.5208333333321</v>
      </c>
      <c r="AN31" s="45">
        <f t="shared" si="10"/>
        <v>9475.5208333333321</v>
      </c>
      <c r="AO31" s="45">
        <f t="shared" si="10"/>
        <v>9475.5208333333321</v>
      </c>
      <c r="AP31" s="33">
        <f>'Cashflow Workings'!AP31</f>
        <v>9475.5208333333321</v>
      </c>
      <c r="AQ31" s="33">
        <f>'Cashflow Workings'!AQ31</f>
        <v>9475.5208333333321</v>
      </c>
      <c r="AR31" s="33">
        <f>'Cashflow Workings'!AR31</f>
        <v>9475.5208333333321</v>
      </c>
      <c r="AS31" s="33">
        <f>'Cashflow Workings'!AS31</f>
        <v>9475.5208333333321</v>
      </c>
      <c r="AT31" s="33">
        <f>'Cashflow Workings'!AT31</f>
        <v>9475.5208333333321</v>
      </c>
      <c r="AU31" s="33">
        <f>'Cashflow Workings'!AU31</f>
        <v>9475.5208333333321</v>
      </c>
      <c r="AV31" s="33">
        <f>'Cashflow Workings'!AV31</f>
        <v>9475.5208333333321</v>
      </c>
      <c r="AW31" s="33">
        <f>'Cashflow Workings'!AW31</f>
        <v>9475.5208333333321</v>
      </c>
      <c r="AX31" s="33">
        <f>'Cashflow Workings'!AX31</f>
        <v>9475.5208333333321</v>
      </c>
      <c r="AY31" s="33">
        <f>'Cashflow Workings'!AY31</f>
        <v>9475.5208333333321</v>
      </c>
      <c r="AZ31" s="33">
        <f>'Cashflow Workings'!AZ31</f>
        <v>9475.5208333333321</v>
      </c>
      <c r="BA31" s="33">
        <f>'Cashflow Workings'!BA31</f>
        <v>9475.5208333333321</v>
      </c>
      <c r="BC31" s="2">
        <f t="shared" si="5"/>
        <v>113706.24999999996</v>
      </c>
    </row>
    <row r="32" spans="1:55" ht="12.75" customHeight="1" x14ac:dyDescent="0.3">
      <c r="B32" s="61" t="s">
        <v>49</v>
      </c>
      <c r="C32" s="45">
        <f>'P_L Workings'!C163</f>
        <v>0</v>
      </c>
      <c r="D32" s="45">
        <f>'P_L Workings'!D163</f>
        <v>0</v>
      </c>
      <c r="E32" s="45">
        <f>'P_L Workings'!E163</f>
        <v>16000</v>
      </c>
      <c r="F32" s="45">
        <f>'P_L Workings'!F163</f>
        <v>66285.71428571429</v>
      </c>
      <c r="G32" s="45">
        <f>'P_L Workings'!G163</f>
        <v>70857.142857142855</v>
      </c>
      <c r="H32" s="45">
        <f>'P_L Workings'!H163</f>
        <v>68571.42857142858</v>
      </c>
      <c r="I32" s="45">
        <f>'P_L Workings'!I163</f>
        <v>70857.142857142855</v>
      </c>
      <c r="J32" s="45">
        <f>'P_L Workings'!J163</f>
        <v>70857.142857142855</v>
      </c>
      <c r="K32" s="45">
        <f>'P_L Workings'!K163</f>
        <v>68571.42857142858</v>
      </c>
      <c r="L32" s="45">
        <f>'P_L Workings'!L163</f>
        <v>70857.142857142855</v>
      </c>
      <c r="M32" s="45">
        <f>'P_L Workings'!M163</f>
        <v>66285.71428571429</v>
      </c>
      <c r="N32" s="45">
        <f>'P_L Workings'!N163</f>
        <v>70857.142857142855</v>
      </c>
      <c r="O32" s="45">
        <f>'P_L Workings'!O163</f>
        <v>43428.571428571428</v>
      </c>
      <c r="P32" s="45">
        <f>'P_L Workings'!P163</f>
        <v>61714.285714285717</v>
      </c>
      <c r="Q32" s="45">
        <f>'P_L Workings'!Q163</f>
        <v>70857.142857142855</v>
      </c>
      <c r="R32" s="45">
        <f>'P_L Workings'!R163</f>
        <v>66285.71428571429</v>
      </c>
      <c r="S32" s="45">
        <f>'P_L Workings'!S163</f>
        <v>70857.142857142855</v>
      </c>
      <c r="T32" s="45">
        <f>'P_L Workings'!T163</f>
        <v>68571.42857142858</v>
      </c>
      <c r="U32" s="45">
        <f>'P_L Workings'!U163</f>
        <v>70857.142857142855</v>
      </c>
      <c r="V32" s="45">
        <f>'P_L Workings'!V163</f>
        <v>70857.142857142855</v>
      </c>
      <c r="W32" s="45">
        <f>'P_L Workings'!W163</f>
        <v>68571.42857142858</v>
      </c>
      <c r="X32" s="45">
        <f>'P_L Workings'!X163</f>
        <v>70857.142857142855</v>
      </c>
      <c r="Y32" s="45">
        <f>'P_L Workings'!Y163</f>
        <v>66285.71428571429</v>
      </c>
      <c r="Z32" s="45">
        <f>'P_L Workings'!Z163</f>
        <v>70857.142857142855</v>
      </c>
      <c r="AA32" s="45">
        <f>'P_L Workings'!AA163</f>
        <v>41142.857142857145</v>
      </c>
      <c r="AB32" s="45">
        <f>'P_L Workings'!AB163</f>
        <v>64000</v>
      </c>
      <c r="AC32" s="45">
        <f>'P_L Workings'!AC163</f>
        <v>70857.142857142855</v>
      </c>
      <c r="AD32" s="45">
        <f>'P_L Workings'!AD163</f>
        <v>66285.71428571429</v>
      </c>
      <c r="AE32" s="45">
        <f>'P_L Workings'!AE163</f>
        <v>70857.142857142855</v>
      </c>
      <c r="AF32" s="45">
        <f>'P_L Workings'!AF163</f>
        <v>68571.42857142858</v>
      </c>
      <c r="AG32" s="45">
        <f>'P_L Workings'!AG163</f>
        <v>70857.142857142855</v>
      </c>
      <c r="AH32" s="45">
        <f>'P_L Workings'!AH163</f>
        <v>70857.142857142855</v>
      </c>
      <c r="AI32" s="45">
        <f>'P_L Workings'!AI163</f>
        <v>68571.42857142858</v>
      </c>
      <c r="AJ32" s="45">
        <f>'P_L Workings'!AJ163</f>
        <v>70857.142857142855</v>
      </c>
      <c r="AK32" s="45">
        <f>'P_L Workings'!AK163</f>
        <v>66285.71428571429</v>
      </c>
      <c r="AL32" s="45">
        <f>'P_L Workings'!AL163</f>
        <v>70857.142857142855</v>
      </c>
      <c r="AM32" s="45">
        <f>'P_L Workings'!AM163</f>
        <v>43428.571428571428</v>
      </c>
      <c r="AN32" s="45">
        <f>'P_L Workings'!AN163</f>
        <v>61714.285714285717</v>
      </c>
      <c r="AO32" s="45">
        <f>'P_L Workings'!AO163</f>
        <v>70857.142857142855</v>
      </c>
      <c r="AP32" s="33">
        <f>'Cashflow Workings'!AP32</f>
        <v>66285.71428571429</v>
      </c>
      <c r="AQ32" s="33">
        <f>'Cashflow Workings'!AQ32</f>
        <v>70857.142857142855</v>
      </c>
      <c r="AR32" s="33">
        <f>'Cashflow Workings'!AR32</f>
        <v>68571.42857142858</v>
      </c>
      <c r="AS32" s="33">
        <f>'Cashflow Workings'!AS32</f>
        <v>70857.142857142855</v>
      </c>
      <c r="AT32" s="33">
        <f>'Cashflow Workings'!AT32</f>
        <v>70857.142857142855</v>
      </c>
      <c r="AU32" s="33">
        <f>'Cashflow Workings'!AU32</f>
        <v>68571.42857142858</v>
      </c>
      <c r="AV32" s="33">
        <f>'Cashflow Workings'!AV32</f>
        <v>70857.142857142855</v>
      </c>
      <c r="AW32" s="33">
        <f>'Cashflow Workings'!AW32</f>
        <v>66285.71428571429</v>
      </c>
      <c r="AX32" s="33">
        <f>'Cashflow Workings'!AX32</f>
        <v>70857.142857142855</v>
      </c>
      <c r="AY32" s="33">
        <f>'Cashflow Workings'!AY32</f>
        <v>43428.571428571428</v>
      </c>
      <c r="AZ32" s="33">
        <f>'Cashflow Workings'!AZ32</f>
        <v>61714.285714285717</v>
      </c>
      <c r="BA32" s="33">
        <f>'Cashflow Workings'!BA32</f>
        <v>70857.142857142855</v>
      </c>
      <c r="BC32" s="2">
        <f t="shared" si="5"/>
        <v>800000</v>
      </c>
    </row>
    <row r="33" spans="1:55" ht="12.75" customHeight="1" x14ac:dyDescent="0.3">
      <c r="B33" s="61" t="s">
        <v>173</v>
      </c>
      <c r="C33" s="45">
        <f>'P_L Workings'!C170</f>
        <v>0</v>
      </c>
      <c r="D33" s="45">
        <f>'P_L Workings'!D170</f>
        <v>0</v>
      </c>
      <c r="E33" s="45">
        <f>'P_L Workings'!E170</f>
        <v>0</v>
      </c>
      <c r="F33" s="45">
        <f>'P_L Workings'!F170</f>
        <v>29708.333333335431</v>
      </c>
      <c r="G33" s="45">
        <f>'P_L Workings'!G170</f>
        <v>21597.315392591918</v>
      </c>
      <c r="H33" s="45">
        <f>'P_L Workings'!H170</f>
        <v>20982.605904540091</v>
      </c>
      <c r="I33" s="45">
        <f>'P_L Workings'!I170</f>
        <v>20364.179675089181</v>
      </c>
      <c r="J33" s="45">
        <f>'P_L Workings'!J170</f>
        <v>19742.011388057086</v>
      </c>
      <c r="K33" s="45">
        <f>'P_L Workings'!K170</f>
        <v>19116.075603811372</v>
      </c>
      <c r="L33" s="45">
        <f>'P_L Workings'!L170</f>
        <v>18486.34675791812</v>
      </c>
      <c r="M33" s="45">
        <f>'P_L Workings'!M170</f>
        <v>17852.799159791961</v>
      </c>
      <c r="N33" s="45">
        <f>'P_L Workings'!N170</f>
        <v>17215.406991347209</v>
      </c>
      <c r="O33" s="45">
        <f>'P_L Workings'!O170</f>
        <v>16574.144305649879</v>
      </c>
      <c r="P33" s="45">
        <f>'P_L Workings'!P170</f>
        <v>15928.985025570473</v>
      </c>
      <c r="Q33" s="45">
        <f>'P_L Workings'!Q170</f>
        <v>15279.902942437375</v>
      </c>
      <c r="R33" s="45">
        <f>'P_L Workings'!R170</f>
        <v>14626.871714690722</v>
      </c>
      <c r="S33" s="45">
        <f>'P_L Workings'!S170</f>
        <v>13969.864866536578</v>
      </c>
      <c r="T33" s="45">
        <f>'P_L Workings'!T170</f>
        <v>13308.855786601296</v>
      </c>
      <c r="U33" s="45">
        <f>'P_L Workings'!U170</f>
        <v>12643.817726585916</v>
      </c>
      <c r="V33" s="45">
        <f>'P_L Workings'!V170</f>
        <v>11974.723799920443</v>
      </c>
      <c r="W33" s="45">
        <f>'P_L Workings'!W170</f>
        <v>11301.546980417897</v>
      </c>
      <c r="X33" s="45">
        <f>'P_L Workings'!X170</f>
        <v>10624.260100927975</v>
      </c>
      <c r="Y33" s="45">
        <f>'P_L Workings'!Y170</f>
        <v>9942.8358519901758</v>
      </c>
      <c r="Z33" s="45">
        <f>'P_L Workings'!Z170</f>
        <v>9257.2467804863045</v>
      </c>
      <c r="AA33" s="45">
        <f>'P_L Workings'!AA170</f>
        <v>8567.4652882921564</v>
      </c>
      <c r="AB33" s="45">
        <f>'P_L Workings'!AB170</f>
        <v>7873.4636309283087</v>
      </c>
      <c r="AC33" s="45">
        <f>'P_L Workings'!AC170</f>
        <v>7175.2139162098429</v>
      </c>
      <c r="AD33" s="45">
        <f>'P_L Workings'!AD170</f>
        <v>6472.6881028948937</v>
      </c>
      <c r="AE33" s="45">
        <f>'P_L Workings'!AE170</f>
        <v>6468.9766345133121</v>
      </c>
      <c r="AF33" s="45">
        <f>'P_L Workings'!AF170</f>
        <v>6465.32702393809</v>
      </c>
      <c r="AG33" s="45">
        <f>'P_L Workings'!AG170</f>
        <v>6461.7382402057883</v>
      </c>
      <c r="AH33" s="45">
        <f>'P_L Workings'!AH170</f>
        <v>6458.2092695356923</v>
      </c>
      <c r="AI33" s="45">
        <f>'P_L Workings'!AI170</f>
        <v>6454.7391150434305</v>
      </c>
      <c r="AJ33" s="45">
        <f>'P_L Workings'!AJ170</f>
        <v>6451.3267964593733</v>
      </c>
      <c r="AK33" s="45">
        <f>'P_L Workings'!AK170</f>
        <v>6447.9713498517167</v>
      </c>
      <c r="AL33" s="45">
        <f>'P_L Workings'!AL170</f>
        <v>6444.6718273541883</v>
      </c>
      <c r="AM33" s="45">
        <f>'P_L Workings'!AM170</f>
        <v>6441.427296898285</v>
      </c>
      <c r="AN33" s="45">
        <f>'P_L Workings'!AN170</f>
        <v>6438.2368419499808</v>
      </c>
      <c r="AO33" s="45">
        <f>'P_L Workings'!AO170</f>
        <v>6435.0995612508141</v>
      </c>
      <c r="AP33" s="33">
        <f>'Cashflow Workings'!AP33</f>
        <v>6432.0145685633006</v>
      </c>
      <c r="AQ33" s="33">
        <f>'Cashflow Workings'!AQ33</f>
        <v>6428.9809924205792</v>
      </c>
      <c r="AR33" s="33">
        <f>'Cashflow Workings'!AR33</f>
        <v>6425.9979758802356</v>
      </c>
      <c r="AS33" s="33">
        <f>'Cashflow Workings'!AS33</f>
        <v>6423.0646762822316</v>
      </c>
      <c r="AT33" s="33">
        <f>'Cashflow Workings'!AT33</f>
        <v>6420.1802650108611</v>
      </c>
      <c r="AU33" s="33">
        <f>'Cashflow Workings'!AU33</f>
        <v>6417.3439272606802</v>
      </c>
      <c r="AV33" s="33">
        <f>'Cashflow Workings'!AV33</f>
        <v>6414.5548618063358</v>
      </c>
      <c r="AW33" s="33">
        <f>'Cashflow Workings'!AW33</f>
        <v>6411.8122807762302</v>
      </c>
      <c r="AX33" s="33">
        <f>'Cashflow Workings'!AX33</f>
        <v>6409.11540942996</v>
      </c>
      <c r="AY33" s="33">
        <f>'Cashflow Workings'!AY33</f>
        <v>6406.46348593946</v>
      </c>
      <c r="AZ33" s="33">
        <f>'Cashflow Workings'!AZ33</f>
        <v>6403.8557611738024</v>
      </c>
      <c r="BA33" s="33">
        <f>'Cashflow Workings'!BA33</f>
        <v>6401.2914984875724</v>
      </c>
      <c r="BC33" s="2">
        <f t="shared" si="5"/>
        <v>76994.675703031244</v>
      </c>
    </row>
    <row r="34" spans="1:55" ht="12.75" customHeight="1" x14ac:dyDescent="0.3">
      <c r="B34" s="61" t="s">
        <v>174</v>
      </c>
      <c r="C34" s="25">
        <f>'Bal Sheet Workings'!C10</f>
        <v>0</v>
      </c>
      <c r="D34" s="25">
        <f>'Bal Sheet Workings'!D10</f>
        <v>0</v>
      </c>
      <c r="E34" s="25">
        <f>'Bal Sheet Workings'!E10</f>
        <v>0</v>
      </c>
      <c r="F34" s="25">
        <f>'Bal Sheet Workings'!F10</f>
        <v>-333.33333333333331</v>
      </c>
      <c r="G34" s="25">
        <f>'Bal Sheet Workings'!G10</f>
        <v>-327.77777777777783</v>
      </c>
      <c r="H34" s="25">
        <f>'Bal Sheet Workings'!H10</f>
        <v>-322.31481481481484</v>
      </c>
      <c r="I34" s="25">
        <f>'Bal Sheet Workings'!I10</f>
        <v>-316.94290123456796</v>
      </c>
      <c r="J34" s="25">
        <f>'Bal Sheet Workings'!J10</f>
        <v>-311.66051954732512</v>
      </c>
      <c r="K34" s="25">
        <f>'Bal Sheet Workings'!K10</f>
        <v>-306.46617755486977</v>
      </c>
      <c r="L34" s="25">
        <f>'Bal Sheet Workings'!L10</f>
        <v>-301.35840792895527</v>
      </c>
      <c r="M34" s="25">
        <f>'Bal Sheet Workings'!M10</f>
        <v>-296.33576779680601</v>
      </c>
      <c r="N34" s="25">
        <f>'Bal Sheet Workings'!N10</f>
        <v>-291.39683833352592</v>
      </c>
      <c r="O34" s="25">
        <f>'Bal Sheet Workings'!O10</f>
        <v>-286.54022436130049</v>
      </c>
      <c r="P34" s="25">
        <f>'Bal Sheet Workings'!P10</f>
        <v>-281.76455395527881</v>
      </c>
      <c r="Q34" s="25">
        <f>'Bal Sheet Workings'!Q10</f>
        <v>-277.06847805602416</v>
      </c>
      <c r="R34" s="25">
        <f>'Bal Sheet Workings'!R10</f>
        <v>-272.45067008842381</v>
      </c>
      <c r="S34" s="25">
        <f>'Bal Sheet Workings'!S10</f>
        <v>-267.90982558695003</v>
      </c>
      <c r="T34" s="25">
        <f>'Bal Sheet Workings'!T10</f>
        <v>-263.44466182716752</v>
      </c>
      <c r="U34" s="25">
        <f>'Bal Sheet Workings'!U10</f>
        <v>-259.05391746338142</v>
      </c>
      <c r="V34" s="25">
        <f>'Bal Sheet Workings'!V10</f>
        <v>-254.73635217232507</v>
      </c>
      <c r="W34" s="25">
        <f>'Bal Sheet Workings'!W10</f>
        <v>-250.49074630278633</v>
      </c>
      <c r="X34" s="25">
        <f>'Bal Sheet Workings'!X10</f>
        <v>-246.31590053107323</v>
      </c>
      <c r="Y34" s="25">
        <f>'Bal Sheet Workings'!Y10</f>
        <v>-242.21063552222199</v>
      </c>
      <c r="Z34" s="25">
        <f>'Bal Sheet Workings'!Z10</f>
        <v>-238.17379159685163</v>
      </c>
      <c r="AA34" s="25">
        <f>'Bal Sheet Workings'!AA10</f>
        <v>-234.20422840357074</v>
      </c>
      <c r="AB34" s="25">
        <f>'Bal Sheet Workings'!AB10</f>
        <v>-230.30082459684459</v>
      </c>
      <c r="AC34" s="25">
        <f>'Bal Sheet Workings'!AC10</f>
        <v>-226.46247752023052</v>
      </c>
      <c r="AD34" s="25">
        <f>'Bal Sheet Workings'!AD10</f>
        <v>-222.68810289489332</v>
      </c>
      <c r="AE34" s="25">
        <f>'Bal Sheet Workings'!AE10</f>
        <v>-218.97663451331178</v>
      </c>
      <c r="AF34" s="25">
        <f>'Bal Sheet Workings'!AF10</f>
        <v>-215.32702393808992</v>
      </c>
      <c r="AG34" s="25">
        <f>'Bal Sheet Workings'!AG10</f>
        <v>-211.73824020578843</v>
      </c>
      <c r="AH34" s="25">
        <f>'Bal Sheet Workings'!AH10</f>
        <v>-208.20926953569196</v>
      </c>
      <c r="AI34" s="25">
        <f>'Bal Sheet Workings'!AI10</f>
        <v>-204.73911504343042</v>
      </c>
      <c r="AJ34" s="25">
        <f>'Bal Sheet Workings'!AJ10</f>
        <v>-201.32679645937324</v>
      </c>
      <c r="AK34" s="25">
        <f>'Bal Sheet Workings'!AK10</f>
        <v>-197.97134985171704</v>
      </c>
      <c r="AL34" s="25">
        <f>'Bal Sheet Workings'!AL10</f>
        <v>-194.67182735418839</v>
      </c>
      <c r="AM34" s="25">
        <f>'Bal Sheet Workings'!AM10</f>
        <v>-191.42729689828528</v>
      </c>
      <c r="AN34" s="25">
        <f>'Bal Sheet Workings'!AN10</f>
        <v>-188.23684194998052</v>
      </c>
      <c r="AO34" s="25">
        <f>'Bal Sheet Workings'!AO10</f>
        <v>-185.09956125081419</v>
      </c>
      <c r="AP34" s="33">
        <f>'Cashflow Workings'!AP34</f>
        <v>-182.0145685633006</v>
      </c>
      <c r="AQ34" s="33">
        <f>'Cashflow Workings'!AQ34</f>
        <v>-178.98099242057893</v>
      </c>
      <c r="AR34" s="33">
        <f>'Cashflow Workings'!AR34</f>
        <v>-175.997975880236</v>
      </c>
      <c r="AS34" s="33">
        <f>'Cashflow Workings'!AS34</f>
        <v>-173.06467628223206</v>
      </c>
      <c r="AT34" s="33">
        <f>'Cashflow Workings'!AT34</f>
        <v>-170.18026501086149</v>
      </c>
      <c r="AU34" s="33">
        <f>'Cashflow Workings'!AU34</f>
        <v>-167.34392726068046</v>
      </c>
      <c r="AV34" s="33">
        <f>'Cashflow Workings'!AV34</f>
        <v>-164.55486180633577</v>
      </c>
      <c r="AW34" s="33">
        <f>'Cashflow Workings'!AW34</f>
        <v>-161.81228077623018</v>
      </c>
      <c r="AX34" s="33">
        <f>'Cashflow Workings'!AX34</f>
        <v>-159.11540942995967</v>
      </c>
      <c r="AY34" s="33">
        <f>'Cashflow Workings'!AY34</f>
        <v>-156.46348593946036</v>
      </c>
      <c r="AZ34" s="33">
        <f>'Cashflow Workings'!AZ34</f>
        <v>-153.85576117380268</v>
      </c>
      <c r="BA34" s="33">
        <f>'Cashflow Workings'!BA34</f>
        <v>-151.29149848757262</v>
      </c>
      <c r="BC34" s="2">
        <f t="shared" si="5"/>
        <v>-1994.6757030312508</v>
      </c>
    </row>
    <row r="35" spans="1:55" ht="12.75" customHeight="1" x14ac:dyDescent="0.3">
      <c r="B35" s="61" t="s">
        <v>175</v>
      </c>
      <c r="C35" s="45">
        <f>300000</f>
        <v>300000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33">
        <f>'Cashflow Workings'!AP35</f>
        <v>0</v>
      </c>
      <c r="AQ35" s="33">
        <f>'Cashflow Workings'!AQ35</f>
        <v>0</v>
      </c>
      <c r="AR35" s="33">
        <f>'Cashflow Workings'!AR35</f>
        <v>0</v>
      </c>
      <c r="AS35" s="33">
        <f>'Cashflow Workings'!AS35</f>
        <v>0</v>
      </c>
      <c r="AT35" s="33">
        <f>'Cashflow Workings'!AT35</f>
        <v>0</v>
      </c>
      <c r="AU35" s="33">
        <f>'Cashflow Workings'!AU35</f>
        <v>0</v>
      </c>
      <c r="AV35" s="33">
        <f>'Cashflow Workings'!AV35</f>
        <v>0</v>
      </c>
      <c r="AW35" s="33">
        <f>'Cashflow Workings'!AW35</f>
        <v>0</v>
      </c>
      <c r="AX35" s="33">
        <f>'Cashflow Workings'!AX35</f>
        <v>0</v>
      </c>
      <c r="AY35" s="33">
        <f>'Cashflow Workings'!AY35</f>
        <v>0</v>
      </c>
      <c r="AZ35" s="33">
        <f>'Cashflow Workings'!AZ35</f>
        <v>0</v>
      </c>
      <c r="BA35" s="33">
        <f>'Cashflow Workings'!BA35</f>
        <v>0</v>
      </c>
      <c r="BC35" s="2">
        <f t="shared" si="5"/>
        <v>0</v>
      </c>
    </row>
    <row r="36" spans="1:55" ht="12.75" customHeight="1" x14ac:dyDescent="0.3">
      <c r="B36" s="61" t="s">
        <v>176</v>
      </c>
      <c r="C36" s="64">
        <f t="shared" ref="C36:AO36" si="11">C35*0.175</f>
        <v>52500</v>
      </c>
      <c r="D36" s="64">
        <f t="shared" si="11"/>
        <v>0</v>
      </c>
      <c r="E36" s="64">
        <f t="shared" si="11"/>
        <v>0</v>
      </c>
      <c r="F36" s="64">
        <f t="shared" si="11"/>
        <v>0</v>
      </c>
      <c r="G36" s="64">
        <f t="shared" si="11"/>
        <v>0</v>
      </c>
      <c r="H36" s="64">
        <f t="shared" si="11"/>
        <v>0</v>
      </c>
      <c r="I36" s="64">
        <f t="shared" si="11"/>
        <v>0</v>
      </c>
      <c r="J36" s="64">
        <f t="shared" si="11"/>
        <v>0</v>
      </c>
      <c r="K36" s="64">
        <f t="shared" si="11"/>
        <v>0</v>
      </c>
      <c r="L36" s="64">
        <f t="shared" si="11"/>
        <v>0</v>
      </c>
      <c r="M36" s="64">
        <f t="shared" si="11"/>
        <v>0</v>
      </c>
      <c r="N36" s="64">
        <f t="shared" si="11"/>
        <v>0</v>
      </c>
      <c r="O36" s="64">
        <f t="shared" si="11"/>
        <v>0</v>
      </c>
      <c r="P36" s="64">
        <f t="shared" si="11"/>
        <v>0</v>
      </c>
      <c r="Q36" s="64">
        <f t="shared" si="11"/>
        <v>0</v>
      </c>
      <c r="R36" s="64">
        <f t="shared" si="11"/>
        <v>0</v>
      </c>
      <c r="S36" s="64">
        <f t="shared" si="11"/>
        <v>0</v>
      </c>
      <c r="T36" s="64">
        <f t="shared" si="11"/>
        <v>0</v>
      </c>
      <c r="U36" s="64">
        <f t="shared" si="11"/>
        <v>0</v>
      </c>
      <c r="V36" s="64">
        <f t="shared" si="11"/>
        <v>0</v>
      </c>
      <c r="W36" s="64">
        <f t="shared" si="11"/>
        <v>0</v>
      </c>
      <c r="X36" s="64">
        <f t="shared" si="11"/>
        <v>0</v>
      </c>
      <c r="Y36" s="64">
        <f t="shared" si="11"/>
        <v>0</v>
      </c>
      <c r="Z36" s="64">
        <f t="shared" si="11"/>
        <v>0</v>
      </c>
      <c r="AA36" s="64">
        <f t="shared" si="11"/>
        <v>0</v>
      </c>
      <c r="AB36" s="64">
        <f t="shared" si="11"/>
        <v>0</v>
      </c>
      <c r="AC36" s="64">
        <f t="shared" si="11"/>
        <v>0</v>
      </c>
      <c r="AD36" s="64">
        <f t="shared" si="11"/>
        <v>0</v>
      </c>
      <c r="AE36" s="64">
        <f t="shared" si="11"/>
        <v>0</v>
      </c>
      <c r="AF36" s="64">
        <f t="shared" si="11"/>
        <v>0</v>
      </c>
      <c r="AG36" s="64">
        <f t="shared" si="11"/>
        <v>0</v>
      </c>
      <c r="AH36" s="64">
        <f t="shared" si="11"/>
        <v>0</v>
      </c>
      <c r="AI36" s="64">
        <f t="shared" si="11"/>
        <v>0</v>
      </c>
      <c r="AJ36" s="64">
        <f t="shared" si="11"/>
        <v>0</v>
      </c>
      <c r="AK36" s="64">
        <f t="shared" si="11"/>
        <v>0</v>
      </c>
      <c r="AL36" s="64">
        <f t="shared" si="11"/>
        <v>0</v>
      </c>
      <c r="AM36" s="64">
        <f t="shared" si="11"/>
        <v>0</v>
      </c>
      <c r="AN36" s="64">
        <f t="shared" si="11"/>
        <v>0</v>
      </c>
      <c r="AO36" s="64">
        <f t="shared" si="11"/>
        <v>0</v>
      </c>
      <c r="AP36" s="68">
        <f>'Cashflow Workings'!AP36</f>
        <v>0</v>
      </c>
      <c r="AQ36" s="68">
        <f>'Cashflow Workings'!AQ36</f>
        <v>0</v>
      </c>
      <c r="AR36" s="68">
        <f>'Cashflow Workings'!AR36</f>
        <v>0</v>
      </c>
      <c r="AS36" s="68">
        <f>'Cashflow Workings'!AS36</f>
        <v>0</v>
      </c>
      <c r="AT36" s="68">
        <f>'Cashflow Workings'!AT36</f>
        <v>0</v>
      </c>
      <c r="AU36" s="68">
        <f>'Cashflow Workings'!AU36</f>
        <v>0</v>
      </c>
      <c r="AV36" s="68">
        <f>'Cashflow Workings'!AV36</f>
        <v>0</v>
      </c>
      <c r="AW36" s="68">
        <f>'Cashflow Workings'!AW36</f>
        <v>0</v>
      </c>
      <c r="AX36" s="68">
        <f>'Cashflow Workings'!AX36</f>
        <v>0</v>
      </c>
      <c r="AY36" s="68">
        <f>'Cashflow Workings'!AY36</f>
        <v>0</v>
      </c>
      <c r="AZ36" s="68">
        <f>'Cashflow Workings'!AZ36</f>
        <v>0</v>
      </c>
      <c r="BA36" s="68">
        <f>'Cashflow Workings'!BA36</f>
        <v>0</v>
      </c>
      <c r="BC36" s="18">
        <f t="shared" si="5"/>
        <v>0</v>
      </c>
    </row>
    <row r="37" spans="1:55" ht="12.75" customHeight="1" x14ac:dyDescent="0.3">
      <c r="B37" s="61"/>
      <c r="C37" s="66">
        <f t="shared" ref="C37:AH37" si="12">SUM(C21:C36)</f>
        <v>1352500</v>
      </c>
      <c r="D37" s="66">
        <f t="shared" si="12"/>
        <v>0</v>
      </c>
      <c r="E37" s="66">
        <f t="shared" si="12"/>
        <v>1090739.1506007325</v>
      </c>
      <c r="F37" s="66">
        <f t="shared" si="12"/>
        <v>1576278.7668333354</v>
      </c>
      <c r="G37" s="66">
        <f t="shared" si="12"/>
        <v>1628205.6524481473</v>
      </c>
      <c r="H37" s="66">
        <f t="shared" si="12"/>
        <v>1597580.2319230582</v>
      </c>
      <c r="I37" s="66">
        <f t="shared" si="12"/>
        <v>1626983.3516071877</v>
      </c>
      <c r="J37" s="66">
        <f t="shared" si="12"/>
        <v>1626366.4657018429</v>
      </c>
      <c r="K37" s="66">
        <f t="shared" si="12"/>
        <v>1595729.5502595895</v>
      </c>
      <c r="L37" s="66">
        <f t="shared" si="12"/>
        <v>1625121.1031833224</v>
      </c>
      <c r="M37" s="66">
        <f t="shared" si="12"/>
        <v>1564460.2302253286</v>
      </c>
      <c r="N37" s="66">
        <f t="shared" si="12"/>
        <v>1623860.1249863468</v>
      </c>
      <c r="O37" s="66">
        <f t="shared" si="12"/>
        <v>1263029.6309146218</v>
      </c>
      <c r="P37" s="66">
        <f t="shared" si="12"/>
        <v>1502518.6393049485</v>
      </c>
      <c r="Q37" s="66">
        <f t="shared" si="12"/>
        <v>1621938.9492977145</v>
      </c>
      <c r="R37" s="66">
        <f t="shared" si="12"/>
        <v>1561258.1878779356</v>
      </c>
      <c r="S37" s="66">
        <f t="shared" si="12"/>
        <v>1620638.0698742827</v>
      </c>
      <c r="T37" s="66">
        <f t="shared" si="12"/>
        <v>1589965.3519581072</v>
      </c>
      <c r="U37" s="66">
        <f t="shared" si="12"/>
        <v>1619320.8786424557</v>
      </c>
      <c r="V37" s="66">
        <f t="shared" si="12"/>
        <v>1618656.1022810813</v>
      </c>
      <c r="W37" s="66">
        <f t="shared" si="12"/>
        <v>1587970.997067448</v>
      </c>
      <c r="X37" s="66">
        <f t="shared" si="12"/>
        <v>1617314.0590337298</v>
      </c>
      <c r="Y37" s="66">
        <f t="shared" si="12"/>
        <v>1556604.3920498013</v>
      </c>
      <c r="Z37" s="66">
        <f t="shared" si="12"/>
        <v>1615955.1878222225</v>
      </c>
      <c r="AA37" s="66">
        <f t="shared" si="12"/>
        <v>1225059.1138932218</v>
      </c>
      <c r="AB37" s="66">
        <f t="shared" si="12"/>
        <v>1524530.7556396646</v>
      </c>
      <c r="AC37" s="66">
        <f t="shared" si="12"/>
        <v>1613884.8662720225</v>
      </c>
      <c r="AD37" s="66">
        <f t="shared" si="12"/>
        <v>1553153.7668333333</v>
      </c>
      <c r="AE37" s="66">
        <f t="shared" si="12"/>
        <v>1613186.1148333331</v>
      </c>
      <c r="AF37" s="66">
        <f t="shared" si="12"/>
        <v>1583169.9408333329</v>
      </c>
      <c r="AG37" s="66">
        <f t="shared" si="12"/>
        <v>1613186.1148333331</v>
      </c>
      <c r="AH37" s="66">
        <f t="shared" si="12"/>
        <v>1613186.1148333331</v>
      </c>
      <c r="AI37" s="66">
        <f t="shared" ref="AI37:BA37" si="13">SUM(AI21:AI36)</f>
        <v>1583169.9408333329</v>
      </c>
      <c r="AJ37" s="66">
        <f t="shared" si="13"/>
        <v>1613186.1148333331</v>
      </c>
      <c r="AK37" s="66">
        <f t="shared" si="13"/>
        <v>1553153.7668333333</v>
      </c>
      <c r="AL37" s="66">
        <f t="shared" si="13"/>
        <v>1613186.1148333331</v>
      </c>
      <c r="AM37" s="66">
        <f t="shared" si="13"/>
        <v>1252992.0268333331</v>
      </c>
      <c r="AN37" s="66">
        <f t="shared" si="13"/>
        <v>1493121.4188333333</v>
      </c>
      <c r="AO37" s="66">
        <f t="shared" si="13"/>
        <v>1613186.1148333331</v>
      </c>
      <c r="AP37" s="66">
        <f t="shared" si="13"/>
        <v>1553153.7668333333</v>
      </c>
      <c r="AQ37" s="66">
        <f t="shared" si="13"/>
        <v>1613186.1148333331</v>
      </c>
      <c r="AR37" s="66">
        <f t="shared" si="13"/>
        <v>1583169.9408333329</v>
      </c>
      <c r="AS37" s="66">
        <f t="shared" si="13"/>
        <v>1613186.1148333331</v>
      </c>
      <c r="AT37" s="66">
        <f t="shared" si="13"/>
        <v>1613186.1148333331</v>
      </c>
      <c r="AU37" s="66">
        <f t="shared" si="13"/>
        <v>1583169.9408333329</v>
      </c>
      <c r="AV37" s="66">
        <f t="shared" si="13"/>
        <v>1613186.1148333331</v>
      </c>
      <c r="AW37" s="66">
        <f t="shared" si="13"/>
        <v>1553153.7668333333</v>
      </c>
      <c r="AX37" s="66">
        <f t="shared" si="13"/>
        <v>1613186.1148333331</v>
      </c>
      <c r="AY37" s="66">
        <f t="shared" si="13"/>
        <v>1252992.0268333331</v>
      </c>
      <c r="AZ37" s="66">
        <f t="shared" si="13"/>
        <v>1493121.4188333333</v>
      </c>
      <c r="BA37" s="66">
        <f t="shared" si="13"/>
        <v>1613186.1148333331</v>
      </c>
      <c r="BC37" s="66">
        <f>SUM(BC21:BC36)</f>
        <v>18697877.549999997</v>
      </c>
    </row>
    <row r="38" spans="1:55" ht="12.75" customHeight="1" x14ac:dyDescent="0.25">
      <c r="B38" s="61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</row>
    <row r="39" spans="1:55" ht="12.75" customHeight="1" x14ac:dyDescent="0.3">
      <c r="B39" s="61" t="s">
        <v>177</v>
      </c>
      <c r="C39" s="45">
        <f>--'Bal Sheet Workings'!C9</f>
        <v>0</v>
      </c>
      <c r="D39" s="45">
        <f>-'Bal Sheet Workings'!D9</f>
        <v>0</v>
      </c>
      <c r="E39" s="45">
        <f>-'Bal Sheet Workings'!E9</f>
        <v>0</v>
      </c>
      <c r="F39" s="45">
        <f>-'Bal Sheet Workings'!F9</f>
        <v>-20000</v>
      </c>
      <c r="G39" s="45">
        <f>-'Bal Sheet Workings'!G9</f>
        <v>0</v>
      </c>
      <c r="H39" s="45">
        <f>-'Bal Sheet Workings'!H9</f>
        <v>0</v>
      </c>
      <c r="I39" s="45">
        <f>-'Bal Sheet Workings'!I9</f>
        <v>0</v>
      </c>
      <c r="J39" s="45">
        <f>-'Bal Sheet Workings'!J9</f>
        <v>0</v>
      </c>
      <c r="K39" s="45">
        <f>-'Bal Sheet Workings'!K9</f>
        <v>0</v>
      </c>
      <c r="L39" s="45">
        <f>-'Bal Sheet Workings'!L9</f>
        <v>0</v>
      </c>
      <c r="M39" s="45">
        <f>-'Bal Sheet Workings'!M9</f>
        <v>0</v>
      </c>
      <c r="N39" s="45">
        <f>-'Bal Sheet Workings'!N9</f>
        <v>0</v>
      </c>
      <c r="O39" s="45">
        <f>-'Bal Sheet Workings'!O9</f>
        <v>0</v>
      </c>
      <c r="P39" s="45">
        <f>-'Bal Sheet Workings'!P9</f>
        <v>0</v>
      </c>
      <c r="Q39" s="45">
        <f>-'Bal Sheet Workings'!Q9</f>
        <v>0</v>
      </c>
      <c r="R39" s="45">
        <f>-'Bal Sheet Workings'!R9</f>
        <v>0</v>
      </c>
      <c r="S39" s="45">
        <f>-'Bal Sheet Workings'!S9</f>
        <v>0</v>
      </c>
      <c r="T39" s="45">
        <f>-'Bal Sheet Workings'!T9</f>
        <v>0</v>
      </c>
      <c r="U39" s="45">
        <f>-'Bal Sheet Workings'!U9</f>
        <v>0</v>
      </c>
      <c r="V39" s="45">
        <f>-'Bal Sheet Workings'!V9</f>
        <v>0</v>
      </c>
      <c r="W39" s="45">
        <f>-'Bal Sheet Workings'!W9</f>
        <v>0</v>
      </c>
      <c r="X39" s="45">
        <f>-'Bal Sheet Workings'!X9</f>
        <v>0</v>
      </c>
      <c r="Y39" s="45">
        <f>-'Bal Sheet Workings'!Y9</f>
        <v>0</v>
      </c>
      <c r="Z39" s="45">
        <f>-'Bal Sheet Workings'!Z9</f>
        <v>0</v>
      </c>
      <c r="AA39" s="45">
        <f>-'Bal Sheet Workings'!AA9</f>
        <v>0</v>
      </c>
      <c r="AB39" s="45">
        <f>-'Bal Sheet Workings'!AB9</f>
        <v>0</v>
      </c>
      <c r="AC39" s="45">
        <f>-'Bal Sheet Workings'!AC9</f>
        <v>0</v>
      </c>
      <c r="AD39" s="45">
        <f>-'Bal Sheet Workings'!AD9</f>
        <v>0</v>
      </c>
      <c r="AE39" s="45">
        <f>-'Bal Sheet Workings'!AE9</f>
        <v>0</v>
      </c>
      <c r="AF39" s="45">
        <f>-'Bal Sheet Workings'!AF9</f>
        <v>0</v>
      </c>
      <c r="AG39" s="45">
        <f>-'Bal Sheet Workings'!AG9</f>
        <v>0</v>
      </c>
      <c r="AH39" s="45">
        <f>-'Bal Sheet Workings'!AH9</f>
        <v>0</v>
      </c>
      <c r="AI39" s="45">
        <f>-'Bal Sheet Workings'!AI9</f>
        <v>0</v>
      </c>
      <c r="AJ39" s="45">
        <f>-'Bal Sheet Workings'!AJ9</f>
        <v>0</v>
      </c>
      <c r="AK39" s="45">
        <f>-'Bal Sheet Workings'!AK9</f>
        <v>0</v>
      </c>
      <c r="AL39" s="45">
        <f>-'Bal Sheet Workings'!AL9</f>
        <v>0</v>
      </c>
      <c r="AM39" s="45">
        <f>-'Bal Sheet Workings'!AM9</f>
        <v>0</v>
      </c>
      <c r="AN39" s="45">
        <f>-'Bal Sheet Workings'!AN9</f>
        <v>0</v>
      </c>
      <c r="AO39" s="45">
        <f>-'Bal Sheet Workings'!AO9</f>
        <v>0</v>
      </c>
      <c r="AP39" s="45">
        <f>'Cashflow Workings'!AP39</f>
        <v>0</v>
      </c>
      <c r="AQ39" s="45">
        <f>'Cashflow Workings'!AQ39</f>
        <v>0</v>
      </c>
      <c r="AR39" s="45">
        <f>'Cashflow Workings'!AR39</f>
        <v>0</v>
      </c>
      <c r="AS39" s="45">
        <f>'Cashflow Workings'!AS39</f>
        <v>0</v>
      </c>
      <c r="AT39" s="45">
        <f>'Cashflow Workings'!AT39</f>
        <v>0</v>
      </c>
      <c r="AU39" s="45">
        <f>'Cashflow Workings'!AU39</f>
        <v>0</v>
      </c>
      <c r="AV39" s="45">
        <f>'Cashflow Workings'!AV39</f>
        <v>0</v>
      </c>
      <c r="AW39" s="45">
        <f>'Cashflow Workings'!AW39</f>
        <v>0</v>
      </c>
      <c r="AX39" s="45">
        <f>'Cashflow Workings'!AX39</f>
        <v>0</v>
      </c>
      <c r="AY39" s="45">
        <f>'Cashflow Workings'!AY39</f>
        <v>0</v>
      </c>
      <c r="AZ39" s="45">
        <f>'Cashflow Workings'!AZ39</f>
        <v>0</v>
      </c>
      <c r="BA39" s="45">
        <f>'Cashflow Workings'!BA39</f>
        <v>0</v>
      </c>
      <c r="BC39" s="2">
        <f>SUM(AP39:BA39)</f>
        <v>0</v>
      </c>
    </row>
    <row r="40" spans="1:55" ht="12.75" customHeight="1" x14ac:dyDescent="0.3">
      <c r="B40" s="61" t="s">
        <v>178</v>
      </c>
      <c r="F40" s="25">
        <f>-E61</f>
        <v>0</v>
      </c>
      <c r="I40" s="25">
        <f>-F61</f>
        <v>0</v>
      </c>
      <c r="L40" s="25">
        <f>-G61</f>
        <v>0</v>
      </c>
      <c r="O40" s="25">
        <f>-I61</f>
        <v>0</v>
      </c>
      <c r="R40" s="25">
        <f>-E62</f>
        <v>0</v>
      </c>
      <c r="U40" s="25">
        <f>-F62</f>
        <v>0</v>
      </c>
      <c r="X40" s="25">
        <f>-G62</f>
        <v>-35958.838163989312</v>
      </c>
      <c r="Z40" s="25">
        <f>-H62</f>
        <v>182615.72938461541</v>
      </c>
      <c r="AA40" s="25">
        <f>-I62</f>
        <v>-35958.838163989312</v>
      </c>
      <c r="AD40" s="25">
        <f>-E63</f>
        <v>-35958.838163989312</v>
      </c>
      <c r="AG40" s="25">
        <f>-F63</f>
        <v>-35958.838163989312</v>
      </c>
      <c r="AJ40" s="25">
        <f>-G63</f>
        <v>-125520.60026673059</v>
      </c>
      <c r="AM40" s="25">
        <f>-I63</f>
        <v>-125520.60026673059</v>
      </c>
      <c r="AP40" s="45">
        <f>'Cashflow Workings'!AP40</f>
        <v>-125520.60026673059</v>
      </c>
      <c r="AQ40" s="45">
        <f>'Cashflow Workings'!AQ40</f>
        <v>0</v>
      </c>
      <c r="AR40" s="45">
        <f>'Cashflow Workings'!AR40</f>
        <v>0</v>
      </c>
      <c r="AS40" s="45">
        <f>'Cashflow Workings'!AS40</f>
        <v>-125520.60026673059</v>
      </c>
      <c r="AT40" s="45">
        <f>'Cashflow Workings'!AT40</f>
        <v>0</v>
      </c>
      <c r="AU40" s="45">
        <f>'Cashflow Workings'!AU40</f>
        <v>0</v>
      </c>
      <c r="AV40" s="45">
        <f>'Cashflow Workings'!AV40</f>
        <v>-209262.86872050789</v>
      </c>
      <c r="AW40" s="45">
        <f>'Cashflow Workings'!AW40</f>
        <v>0</v>
      </c>
      <c r="AX40" s="45">
        <f>'Cashflow Workings'!AX40</f>
        <v>0</v>
      </c>
      <c r="AY40" s="45">
        <f>'Cashflow Workings'!AY40</f>
        <v>-209262.86872050789</v>
      </c>
      <c r="AZ40" s="45">
        <f>'Cashflow Workings'!AZ40</f>
        <v>0</v>
      </c>
      <c r="BA40" s="45">
        <f>'Cashflow Workings'!BA40</f>
        <v>0</v>
      </c>
      <c r="BC40" s="2">
        <f>SUM(AP40:BA40)</f>
        <v>-669566.93797447695</v>
      </c>
    </row>
    <row r="41" spans="1:55" ht="12.75" customHeight="1" x14ac:dyDescent="0.3">
      <c r="B41" s="61" t="s">
        <v>179</v>
      </c>
      <c r="AP41" s="45">
        <f>'Cashflow Workings'!AP41</f>
        <v>0</v>
      </c>
      <c r="AQ41" s="45">
        <f>'Cashflow Workings'!AQ41</f>
        <v>0</v>
      </c>
      <c r="AR41" s="45">
        <f>'Cashflow Workings'!AR41</f>
        <v>0</v>
      </c>
      <c r="AS41" s="45">
        <f>'Cashflow Workings'!AS41</f>
        <v>0</v>
      </c>
      <c r="AT41" s="45">
        <f>'Cashflow Workings'!AT41</f>
        <v>0</v>
      </c>
      <c r="AU41" s="45">
        <f>'Cashflow Workings'!AU41</f>
        <v>0</v>
      </c>
      <c r="AV41" s="45">
        <f>'Cashflow Workings'!AV41</f>
        <v>0</v>
      </c>
      <c r="AW41" s="45">
        <f>'Cashflow Workings'!AW41</f>
        <v>0</v>
      </c>
      <c r="AX41" s="45">
        <f>'Cashflow Workings'!AX41</f>
        <v>0</v>
      </c>
      <c r="AY41" s="45">
        <f>'Cashflow Workings'!AY41</f>
        <v>0</v>
      </c>
      <c r="AZ41" s="45">
        <f>'Cashflow Workings'!AZ41</f>
        <v>0</v>
      </c>
      <c r="BA41" s="45">
        <f>'Cashflow Workings'!BA41</f>
        <v>0</v>
      </c>
      <c r="BC41" s="2">
        <f>SUM(AP41:BA41)</f>
        <v>0</v>
      </c>
    </row>
    <row r="42" spans="1:55" ht="12.75" customHeight="1" x14ac:dyDescent="0.3">
      <c r="B42" s="61" t="s">
        <v>180</v>
      </c>
      <c r="F42" s="25">
        <f>SUM(C55:E55)</f>
        <v>-134873.65979487181</v>
      </c>
      <c r="I42" s="25">
        <f>SUM(F55:H55)</f>
        <v>349893.53125</v>
      </c>
      <c r="L42" s="25">
        <f>SUM(I55:K55)</f>
        <v>411394.55074999994</v>
      </c>
      <c r="O42" s="25">
        <f>SUM(L55:N55)</f>
        <v>344023.87209999992</v>
      </c>
      <c r="R42" s="25">
        <f>SUM(O55:Q55)</f>
        <v>255306.64524999994</v>
      </c>
      <c r="U42" s="25">
        <f>SUM(R55:T55)</f>
        <v>398005.08250000002</v>
      </c>
      <c r="X42" s="25">
        <f>SUM(U55:W55)</f>
        <v>468733.17299999995</v>
      </c>
      <c r="AA42" s="25">
        <f>SUM(X55:Z55)</f>
        <v>390216.2855</v>
      </c>
      <c r="AD42" s="25">
        <f>SUM(AA55:AC55)</f>
        <v>294864.66374999995</v>
      </c>
      <c r="AG42" s="25">
        <f>SUM(AD55:AF55)</f>
        <v>453877.52499999991</v>
      </c>
      <c r="AJ42" s="25">
        <f>SUM(AG55:AI55)</f>
        <v>516136.04424999992</v>
      </c>
      <c r="AM42" s="25">
        <f>SUM(AJ55:AL55)</f>
        <v>435191.77549999999</v>
      </c>
      <c r="AP42" s="45">
        <f>'Cashflow Workings'!AP42</f>
        <v>342025.479375</v>
      </c>
      <c r="AQ42" s="45">
        <f>'Cashflow Workings'!AQ42</f>
        <v>0</v>
      </c>
      <c r="AR42" s="45">
        <f>'Cashflow Workings'!AR42</f>
        <v>0</v>
      </c>
      <c r="AS42" s="45">
        <f>'Cashflow Workings'!AS42</f>
        <v>500762.26762499986</v>
      </c>
      <c r="AT42" s="45">
        <f>'Cashflow Workings'!AT42</f>
        <v>0</v>
      </c>
      <c r="AU42" s="45">
        <f>'Cashflow Workings'!AU42</f>
        <v>0</v>
      </c>
      <c r="AV42" s="45">
        <f>'Cashflow Workings'!AV42</f>
        <v>559925.9879999999</v>
      </c>
      <c r="AW42" s="45">
        <f>'Cashflow Workings'!AW42</f>
        <v>0</v>
      </c>
      <c r="AX42" s="45">
        <f>'Cashflow Workings'!AX42</f>
        <v>0</v>
      </c>
      <c r="AY42" s="45">
        <f>'Cashflow Workings'!AY42</f>
        <v>478555.46737499989</v>
      </c>
      <c r="AZ42" s="45">
        <f>'Cashflow Workings'!AZ42</f>
        <v>0</v>
      </c>
      <c r="BA42" s="45">
        <f>'Cashflow Workings'!BA42</f>
        <v>0</v>
      </c>
      <c r="BC42" s="2">
        <f>SUM(AP42:BA42)</f>
        <v>1881269.2023749999</v>
      </c>
    </row>
    <row r="43" spans="1:55" ht="12.75" customHeight="1" x14ac:dyDescent="0.25">
      <c r="B43" s="61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</row>
    <row r="44" spans="1:55" s="2" customFormat="1" ht="12.75" customHeight="1" x14ac:dyDescent="0.3">
      <c r="B44" s="16"/>
      <c r="C44" s="67">
        <f t="shared" ref="C44:AH44" si="14">SUM(C37:C43)</f>
        <v>1352500</v>
      </c>
      <c r="D44" s="67">
        <f t="shared" si="14"/>
        <v>0</v>
      </c>
      <c r="E44" s="67">
        <f t="shared" si="14"/>
        <v>1090739.1506007325</v>
      </c>
      <c r="F44" s="67">
        <f t="shared" si="14"/>
        <v>1421405.1070384635</v>
      </c>
      <c r="G44" s="67">
        <f t="shared" si="14"/>
        <v>1628205.6524481473</v>
      </c>
      <c r="H44" s="67">
        <f t="shared" si="14"/>
        <v>1597580.2319230582</v>
      </c>
      <c r="I44" s="67">
        <f t="shared" si="14"/>
        <v>1976876.8828571877</v>
      </c>
      <c r="J44" s="67">
        <f t="shared" si="14"/>
        <v>1626366.4657018429</v>
      </c>
      <c r="K44" s="67">
        <f t="shared" si="14"/>
        <v>1595729.5502595895</v>
      </c>
      <c r="L44" s="67">
        <f t="shared" si="14"/>
        <v>2036515.6539333223</v>
      </c>
      <c r="M44" s="67">
        <f t="shared" si="14"/>
        <v>1564460.2302253286</v>
      </c>
      <c r="N44" s="67">
        <f t="shared" si="14"/>
        <v>1623860.1249863468</v>
      </c>
      <c r="O44" s="67">
        <f t="shared" si="14"/>
        <v>1607053.5030146218</v>
      </c>
      <c r="P44" s="67">
        <f t="shared" si="14"/>
        <v>1502518.6393049485</v>
      </c>
      <c r="Q44" s="67">
        <f t="shared" si="14"/>
        <v>1621938.9492977145</v>
      </c>
      <c r="R44" s="67">
        <f t="shared" si="14"/>
        <v>1816564.8331279354</v>
      </c>
      <c r="S44" s="67">
        <f t="shared" si="14"/>
        <v>1620638.0698742827</v>
      </c>
      <c r="T44" s="67">
        <f t="shared" si="14"/>
        <v>1589965.3519581072</v>
      </c>
      <c r="U44" s="67">
        <f t="shared" si="14"/>
        <v>2017325.9611424557</v>
      </c>
      <c r="V44" s="67">
        <f t="shared" si="14"/>
        <v>1618656.1022810813</v>
      </c>
      <c r="W44" s="67">
        <f t="shared" si="14"/>
        <v>1587970.997067448</v>
      </c>
      <c r="X44" s="67">
        <f t="shared" si="14"/>
        <v>2050088.3938697404</v>
      </c>
      <c r="Y44" s="67">
        <f t="shared" si="14"/>
        <v>1556604.3920498013</v>
      </c>
      <c r="Z44" s="67">
        <f t="shared" si="14"/>
        <v>1798570.9172068378</v>
      </c>
      <c r="AA44" s="67">
        <f t="shared" si="14"/>
        <v>1579316.5612292325</v>
      </c>
      <c r="AB44" s="67">
        <f t="shared" si="14"/>
        <v>1524530.7556396646</v>
      </c>
      <c r="AC44" s="67">
        <f t="shared" si="14"/>
        <v>1613884.8662720225</v>
      </c>
      <c r="AD44" s="67">
        <f t="shared" si="14"/>
        <v>1812059.592419344</v>
      </c>
      <c r="AE44" s="67">
        <f t="shared" si="14"/>
        <v>1613186.1148333331</v>
      </c>
      <c r="AF44" s="67">
        <f t="shared" si="14"/>
        <v>1583169.9408333329</v>
      </c>
      <c r="AG44" s="67">
        <f t="shared" si="14"/>
        <v>2031104.8016693436</v>
      </c>
      <c r="AH44" s="67">
        <f t="shared" si="14"/>
        <v>1613186.1148333331</v>
      </c>
      <c r="AI44" s="67">
        <f t="shared" ref="AI44:BA44" si="15">SUM(AI37:AI43)</f>
        <v>1583169.9408333329</v>
      </c>
      <c r="AJ44" s="67">
        <f t="shared" si="15"/>
        <v>2003801.5588166025</v>
      </c>
      <c r="AK44" s="67">
        <f t="shared" si="15"/>
        <v>1553153.7668333333</v>
      </c>
      <c r="AL44" s="67">
        <f t="shared" si="15"/>
        <v>1613186.1148333331</v>
      </c>
      <c r="AM44" s="67">
        <f t="shared" si="15"/>
        <v>1562663.2020666024</v>
      </c>
      <c r="AN44" s="67">
        <f t="shared" si="15"/>
        <v>1493121.4188333333</v>
      </c>
      <c r="AO44" s="67">
        <f t="shared" si="15"/>
        <v>1613186.1148333331</v>
      </c>
      <c r="AP44" s="67">
        <f t="shared" si="15"/>
        <v>1769658.6459416025</v>
      </c>
      <c r="AQ44" s="67">
        <f t="shared" si="15"/>
        <v>1613186.1148333331</v>
      </c>
      <c r="AR44" s="67">
        <f t="shared" si="15"/>
        <v>1583169.9408333329</v>
      </c>
      <c r="AS44" s="67">
        <f t="shared" si="15"/>
        <v>1988427.7821916023</v>
      </c>
      <c r="AT44" s="67">
        <f t="shared" si="15"/>
        <v>1613186.1148333331</v>
      </c>
      <c r="AU44" s="67">
        <f t="shared" si="15"/>
        <v>1583169.9408333329</v>
      </c>
      <c r="AV44" s="67">
        <f t="shared" si="15"/>
        <v>1963849.234112825</v>
      </c>
      <c r="AW44" s="67">
        <f t="shared" si="15"/>
        <v>1553153.7668333333</v>
      </c>
      <c r="AX44" s="67">
        <f t="shared" si="15"/>
        <v>1613186.1148333331</v>
      </c>
      <c r="AY44" s="67">
        <f t="shared" si="15"/>
        <v>1522284.6254878249</v>
      </c>
      <c r="AZ44" s="67">
        <f t="shared" si="15"/>
        <v>1493121.4188333333</v>
      </c>
      <c r="BA44" s="67">
        <f t="shared" si="15"/>
        <v>1613186.1148333331</v>
      </c>
      <c r="BC44" s="67">
        <f>SUM(BC37:BC43)</f>
        <v>19909579.81440052</v>
      </c>
    </row>
    <row r="45" spans="1:55" ht="12.75" customHeight="1" x14ac:dyDescent="0.25">
      <c r="B45" s="61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</row>
    <row r="46" spans="1:55" ht="15.75" customHeight="1" x14ac:dyDescent="0.35">
      <c r="A46" s="42" t="s">
        <v>181</v>
      </c>
      <c r="B46" s="61"/>
      <c r="C46" s="25">
        <f t="shared" ref="C46:AH46" si="16">C17-C44</f>
        <v>147500</v>
      </c>
      <c r="D46" s="25">
        <f t="shared" si="16"/>
        <v>0</v>
      </c>
      <c r="E46" s="25">
        <f t="shared" si="16"/>
        <v>-699449.90060073254</v>
      </c>
      <c r="F46" s="25">
        <f t="shared" si="16"/>
        <v>243176.18071153667</v>
      </c>
      <c r="G46" s="25">
        <f t="shared" si="16"/>
        <v>151174.34480185271</v>
      </c>
      <c r="H46" s="25">
        <f t="shared" si="16"/>
        <v>241726.68682694179</v>
      </c>
      <c r="I46" s="25">
        <f t="shared" si="16"/>
        <v>27806.491517812479</v>
      </c>
      <c r="J46" s="25">
        <f t="shared" si="16"/>
        <v>378316.90867315722</v>
      </c>
      <c r="K46" s="25">
        <f t="shared" si="16"/>
        <v>126251.09224041062</v>
      </c>
      <c r="L46" s="25">
        <f t="shared" si="16"/>
        <v>-257135.65668332228</v>
      </c>
      <c r="M46" s="25">
        <f t="shared" si="16"/>
        <v>100121.05752467155</v>
      </c>
      <c r="N46" s="25">
        <f t="shared" si="16"/>
        <v>193608.11061365297</v>
      </c>
      <c r="O46" s="25">
        <f t="shared" si="16"/>
        <v>-516465.76276462176</v>
      </c>
      <c r="P46" s="25">
        <f t="shared" si="16"/>
        <v>47263.938945051515</v>
      </c>
      <c r="Q46" s="25">
        <f t="shared" si="16"/>
        <v>157441.0479522855</v>
      </c>
      <c r="R46" s="25">
        <f t="shared" si="16"/>
        <v>-51950.930877935374</v>
      </c>
      <c r="S46" s="25">
        <f t="shared" si="16"/>
        <v>265673.34287571744</v>
      </c>
      <c r="T46" s="25">
        <f t="shared" si="16"/>
        <v>365412.23804189288</v>
      </c>
      <c r="U46" s="25">
        <f t="shared" si="16"/>
        <v>128110.35185754439</v>
      </c>
      <c r="V46" s="25">
        <f t="shared" si="16"/>
        <v>526780.21071891882</v>
      </c>
      <c r="W46" s="25">
        <f t="shared" si="16"/>
        <v>237491.66043255199</v>
      </c>
      <c r="X46" s="25">
        <f t="shared" si="16"/>
        <v>-163776.98111974029</v>
      </c>
      <c r="Y46" s="25">
        <f t="shared" si="16"/>
        <v>208009.51020019874</v>
      </c>
      <c r="Z46" s="25">
        <f t="shared" si="16"/>
        <v>122082.3497931622</v>
      </c>
      <c r="AA46" s="25">
        <f t="shared" si="16"/>
        <v>-484038.96672923234</v>
      </c>
      <c r="AB46" s="25">
        <f t="shared" si="16"/>
        <v>179234.39136033528</v>
      </c>
      <c r="AC46" s="25">
        <f t="shared" si="16"/>
        <v>272426.54647797765</v>
      </c>
      <c r="AD46" s="25">
        <f t="shared" si="16"/>
        <v>82520.108080655802</v>
      </c>
      <c r="AE46" s="25">
        <f t="shared" si="16"/>
        <v>412054.25466666697</v>
      </c>
      <c r="AF46" s="25">
        <f t="shared" si="16"/>
        <v>478456.436666667</v>
      </c>
      <c r="AG46" s="25">
        <f t="shared" si="16"/>
        <v>224121.92508065631</v>
      </c>
      <c r="AH46" s="25">
        <f t="shared" si="16"/>
        <v>642040.61191666685</v>
      </c>
      <c r="AI46" s="25">
        <f t="shared" ref="AI46:BA46" si="17">AI17-AI44</f>
        <v>340988.31041666702</v>
      </c>
      <c r="AJ46" s="25">
        <f t="shared" si="17"/>
        <v>-15504.699191602413</v>
      </c>
      <c r="AK46" s="25">
        <f t="shared" si="17"/>
        <v>306865.87604166684</v>
      </c>
      <c r="AL46" s="25">
        <f t="shared" si="17"/>
        <v>412054.25466666697</v>
      </c>
      <c r="AM46" s="25">
        <f t="shared" si="17"/>
        <v>-344029.64294160251</v>
      </c>
      <c r="AN46" s="25">
        <f t="shared" si="17"/>
        <v>238621.0072916667</v>
      </c>
      <c r="AO46" s="25">
        <f t="shared" si="17"/>
        <v>375110.74479166698</v>
      </c>
      <c r="AP46" s="25">
        <f t="shared" si="17"/>
        <v>229479.86218339717</v>
      </c>
      <c r="AQ46" s="25">
        <f t="shared" si="17"/>
        <v>486880.50466666697</v>
      </c>
      <c r="AR46" s="25">
        <f t="shared" si="17"/>
        <v>550868.936666667</v>
      </c>
      <c r="AS46" s="25">
        <f t="shared" si="17"/>
        <v>341625.19455839763</v>
      </c>
      <c r="AT46" s="25">
        <f t="shared" si="17"/>
        <v>716866.86191666685</v>
      </c>
      <c r="AU46" s="25">
        <f t="shared" si="17"/>
        <v>420954.00416666688</v>
      </c>
      <c r="AV46" s="25">
        <f t="shared" si="17"/>
        <v>107078.84238717495</v>
      </c>
      <c r="AW46" s="25">
        <f t="shared" si="17"/>
        <v>376864.62604166684</v>
      </c>
      <c r="AX46" s="25">
        <f t="shared" si="17"/>
        <v>486880.50466666697</v>
      </c>
      <c r="AY46" s="25">
        <f t="shared" si="17"/>
        <v>-257789.81636282476</v>
      </c>
      <c r="AZ46" s="25">
        <f t="shared" si="17"/>
        <v>303792.2572916667</v>
      </c>
      <c r="BA46" s="25">
        <f t="shared" si="17"/>
        <v>449936.99479166698</v>
      </c>
      <c r="BC46" s="2">
        <f>SUM(AP46:BA46)</f>
        <v>4213438.7729744799</v>
      </c>
    </row>
    <row r="47" spans="1:55" ht="12.75" customHeight="1" x14ac:dyDescent="0.25">
      <c r="B47" s="61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</row>
    <row r="48" spans="1:55" ht="12.75" customHeight="1" x14ac:dyDescent="0.25">
      <c r="A48" s="1" t="s">
        <v>182</v>
      </c>
      <c r="B48" s="61"/>
      <c r="C48" s="25">
        <v>0</v>
      </c>
      <c r="D48" s="25">
        <f t="shared" ref="D48:AO48" si="18">C50</f>
        <v>147500</v>
      </c>
      <c r="E48" s="25">
        <f t="shared" si="18"/>
        <v>147500</v>
      </c>
      <c r="F48" s="25">
        <f t="shared" si="18"/>
        <v>-551949.90060073254</v>
      </c>
      <c r="G48" s="25">
        <f t="shared" si="18"/>
        <v>-308773.71988919587</v>
      </c>
      <c r="H48" s="25">
        <f t="shared" si="18"/>
        <v>-157599.37508734316</v>
      </c>
      <c r="I48" s="25">
        <f t="shared" si="18"/>
        <v>84127.311739598634</v>
      </c>
      <c r="J48" s="25">
        <f t="shared" si="18"/>
        <v>111933.80325741111</v>
      </c>
      <c r="K48" s="25">
        <f t="shared" si="18"/>
        <v>490250.71193056833</v>
      </c>
      <c r="L48" s="25">
        <f t="shared" si="18"/>
        <v>616501.80417097895</v>
      </c>
      <c r="M48" s="25">
        <f t="shared" si="18"/>
        <v>359366.14748765668</v>
      </c>
      <c r="N48" s="25">
        <f t="shared" si="18"/>
        <v>459487.20501232822</v>
      </c>
      <c r="O48" s="25">
        <f t="shared" si="18"/>
        <v>653095.31562598119</v>
      </c>
      <c r="P48" s="25">
        <f t="shared" si="18"/>
        <v>136629.55286135944</v>
      </c>
      <c r="Q48" s="25">
        <f t="shared" si="18"/>
        <v>183893.49180641095</v>
      </c>
      <c r="R48" s="25">
        <f t="shared" si="18"/>
        <v>341334.53975869645</v>
      </c>
      <c r="S48" s="25">
        <f t="shared" si="18"/>
        <v>289383.60888076108</v>
      </c>
      <c r="T48" s="25">
        <f t="shared" si="18"/>
        <v>555056.95175647852</v>
      </c>
      <c r="U48" s="25">
        <f t="shared" si="18"/>
        <v>920469.1897983714</v>
      </c>
      <c r="V48" s="25">
        <f t="shared" si="18"/>
        <v>1048579.5416559158</v>
      </c>
      <c r="W48" s="25">
        <f t="shared" si="18"/>
        <v>1575359.7523748346</v>
      </c>
      <c r="X48" s="25">
        <f t="shared" si="18"/>
        <v>1812851.4128073866</v>
      </c>
      <c r="Y48" s="25">
        <f t="shared" si="18"/>
        <v>1649074.4316876463</v>
      </c>
      <c r="Z48" s="25">
        <f t="shared" si="18"/>
        <v>1857083.9418878451</v>
      </c>
      <c r="AA48" s="25">
        <f t="shared" si="18"/>
        <v>1979166.2916810072</v>
      </c>
      <c r="AB48" s="25">
        <f t="shared" si="18"/>
        <v>1495127.3249517749</v>
      </c>
      <c r="AC48" s="25">
        <f t="shared" si="18"/>
        <v>1674361.7163121102</v>
      </c>
      <c r="AD48" s="25">
        <f t="shared" si="18"/>
        <v>1946788.2627900878</v>
      </c>
      <c r="AE48" s="25">
        <f t="shared" si="18"/>
        <v>2029308.3708707436</v>
      </c>
      <c r="AF48" s="25">
        <f t="shared" si="18"/>
        <v>2441362.6255374104</v>
      </c>
      <c r="AG48" s="25">
        <f t="shared" si="18"/>
        <v>2919819.0622040774</v>
      </c>
      <c r="AH48" s="25">
        <f t="shared" si="18"/>
        <v>3143940.9872847339</v>
      </c>
      <c r="AI48" s="25">
        <f t="shared" si="18"/>
        <v>3785981.5992014008</v>
      </c>
      <c r="AJ48" s="25">
        <f t="shared" si="18"/>
        <v>4126969.9096180676</v>
      </c>
      <c r="AK48" s="25">
        <f t="shared" si="18"/>
        <v>4111465.2104264651</v>
      </c>
      <c r="AL48" s="25">
        <f t="shared" si="18"/>
        <v>4418331.0864681322</v>
      </c>
      <c r="AM48" s="25">
        <f t="shared" si="18"/>
        <v>4830385.3411347996</v>
      </c>
      <c r="AN48" s="25">
        <f t="shared" si="18"/>
        <v>4486355.6981931971</v>
      </c>
      <c r="AO48" s="25">
        <f t="shared" si="18"/>
        <v>4724976.7054848634</v>
      </c>
      <c r="AP48" s="25">
        <f>'Cashflow 2008_09'!BC50</f>
        <v>7314417.0702764811</v>
      </c>
      <c r="AQ48" s="25">
        <f t="shared" ref="AQ48:BA48" si="19">AP50</f>
        <v>7543896.9324598778</v>
      </c>
      <c r="AR48" s="25">
        <f t="shared" si="19"/>
        <v>8030777.4371265452</v>
      </c>
      <c r="AS48" s="25">
        <f t="shared" si="19"/>
        <v>8581646.3737932127</v>
      </c>
      <c r="AT48" s="25">
        <f t="shared" si="19"/>
        <v>8923271.5683516096</v>
      </c>
      <c r="AU48" s="25">
        <f t="shared" si="19"/>
        <v>9640138.4302682765</v>
      </c>
      <c r="AV48" s="25">
        <f t="shared" si="19"/>
        <v>10061092.434434943</v>
      </c>
      <c r="AW48" s="25">
        <f t="shared" si="19"/>
        <v>10168171.276822118</v>
      </c>
      <c r="AX48" s="25">
        <f t="shared" si="19"/>
        <v>10545035.902863786</v>
      </c>
      <c r="AY48" s="25">
        <f t="shared" si="19"/>
        <v>11031916.407530453</v>
      </c>
      <c r="AZ48" s="25">
        <f t="shared" si="19"/>
        <v>10774126.591167629</v>
      </c>
      <c r="BA48" s="25">
        <f t="shared" si="19"/>
        <v>11077918.848459296</v>
      </c>
      <c r="BC48" s="1">
        <f>AP48</f>
        <v>7314417.0702764811</v>
      </c>
    </row>
    <row r="49" spans="1:55" ht="12.75" customHeight="1" x14ac:dyDescent="0.25">
      <c r="B49" s="61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</row>
    <row r="50" spans="1:55" ht="15" customHeight="1" x14ac:dyDescent="0.35">
      <c r="A50" s="42" t="s">
        <v>183</v>
      </c>
      <c r="C50" s="47">
        <f t="shared" ref="C50:AH50" si="20">C46+C48</f>
        <v>147500</v>
      </c>
      <c r="D50" s="47">
        <f t="shared" si="20"/>
        <v>147500</v>
      </c>
      <c r="E50" s="47">
        <f t="shared" si="20"/>
        <v>-551949.90060073254</v>
      </c>
      <c r="F50" s="47">
        <f t="shared" si="20"/>
        <v>-308773.71988919587</v>
      </c>
      <c r="G50" s="47">
        <f t="shared" si="20"/>
        <v>-157599.37508734316</v>
      </c>
      <c r="H50" s="47">
        <f t="shared" si="20"/>
        <v>84127.311739598634</v>
      </c>
      <c r="I50" s="47">
        <f t="shared" si="20"/>
        <v>111933.80325741111</v>
      </c>
      <c r="J50" s="47">
        <f t="shared" si="20"/>
        <v>490250.71193056833</v>
      </c>
      <c r="K50" s="47">
        <f t="shared" si="20"/>
        <v>616501.80417097895</v>
      </c>
      <c r="L50" s="47">
        <f t="shared" si="20"/>
        <v>359366.14748765668</v>
      </c>
      <c r="M50" s="47">
        <f t="shared" si="20"/>
        <v>459487.20501232822</v>
      </c>
      <c r="N50" s="47">
        <f t="shared" si="20"/>
        <v>653095.31562598119</v>
      </c>
      <c r="O50" s="47">
        <f t="shared" si="20"/>
        <v>136629.55286135944</v>
      </c>
      <c r="P50" s="47">
        <f t="shared" si="20"/>
        <v>183893.49180641095</v>
      </c>
      <c r="Q50" s="47">
        <f t="shared" si="20"/>
        <v>341334.53975869645</v>
      </c>
      <c r="R50" s="47">
        <f t="shared" si="20"/>
        <v>289383.60888076108</v>
      </c>
      <c r="S50" s="47">
        <f t="shared" si="20"/>
        <v>555056.95175647852</v>
      </c>
      <c r="T50" s="47">
        <f t="shared" si="20"/>
        <v>920469.1897983714</v>
      </c>
      <c r="U50" s="47">
        <f t="shared" si="20"/>
        <v>1048579.5416559158</v>
      </c>
      <c r="V50" s="47">
        <f t="shared" si="20"/>
        <v>1575359.7523748346</v>
      </c>
      <c r="W50" s="47">
        <f t="shared" si="20"/>
        <v>1812851.4128073866</v>
      </c>
      <c r="X50" s="47">
        <f t="shared" si="20"/>
        <v>1649074.4316876463</v>
      </c>
      <c r="Y50" s="47">
        <f t="shared" si="20"/>
        <v>1857083.9418878451</v>
      </c>
      <c r="Z50" s="47">
        <f t="shared" si="20"/>
        <v>1979166.2916810072</v>
      </c>
      <c r="AA50" s="47">
        <f t="shared" si="20"/>
        <v>1495127.3249517749</v>
      </c>
      <c r="AB50" s="47">
        <f t="shared" si="20"/>
        <v>1674361.7163121102</v>
      </c>
      <c r="AC50" s="47">
        <f t="shared" si="20"/>
        <v>1946788.2627900878</v>
      </c>
      <c r="AD50" s="47">
        <f t="shared" si="20"/>
        <v>2029308.3708707436</v>
      </c>
      <c r="AE50" s="47">
        <f t="shared" si="20"/>
        <v>2441362.6255374104</v>
      </c>
      <c r="AF50" s="47">
        <f t="shared" si="20"/>
        <v>2919819.0622040774</v>
      </c>
      <c r="AG50" s="47">
        <f t="shared" si="20"/>
        <v>3143940.9872847339</v>
      </c>
      <c r="AH50" s="47">
        <f t="shared" si="20"/>
        <v>3785981.5992014008</v>
      </c>
      <c r="AI50" s="47">
        <f t="shared" ref="AI50:BA50" si="21">AI46+AI48</f>
        <v>4126969.9096180676</v>
      </c>
      <c r="AJ50" s="47">
        <f t="shared" si="21"/>
        <v>4111465.2104264651</v>
      </c>
      <c r="AK50" s="47">
        <f t="shared" si="21"/>
        <v>4418331.0864681322</v>
      </c>
      <c r="AL50" s="47">
        <f t="shared" si="21"/>
        <v>4830385.3411347996</v>
      </c>
      <c r="AM50" s="47">
        <f t="shared" si="21"/>
        <v>4486355.6981931971</v>
      </c>
      <c r="AN50" s="47">
        <f t="shared" si="21"/>
        <v>4724976.7054848634</v>
      </c>
      <c r="AO50" s="47">
        <f t="shared" si="21"/>
        <v>5100087.4502765303</v>
      </c>
      <c r="AP50" s="47">
        <f t="shared" si="21"/>
        <v>7543896.9324598778</v>
      </c>
      <c r="AQ50" s="47">
        <f t="shared" si="21"/>
        <v>8030777.4371265452</v>
      </c>
      <c r="AR50" s="47">
        <f t="shared" si="21"/>
        <v>8581646.3737932127</v>
      </c>
      <c r="AS50" s="47">
        <f t="shared" si="21"/>
        <v>8923271.5683516096</v>
      </c>
      <c r="AT50" s="47">
        <f t="shared" si="21"/>
        <v>9640138.4302682765</v>
      </c>
      <c r="AU50" s="47">
        <f t="shared" si="21"/>
        <v>10061092.434434943</v>
      </c>
      <c r="AV50" s="47">
        <f t="shared" si="21"/>
        <v>10168171.276822118</v>
      </c>
      <c r="AW50" s="47">
        <f t="shared" si="21"/>
        <v>10545035.902863786</v>
      </c>
      <c r="AX50" s="47">
        <f t="shared" si="21"/>
        <v>11031916.407530453</v>
      </c>
      <c r="AY50" s="47">
        <f t="shared" si="21"/>
        <v>10774126.591167629</v>
      </c>
      <c r="AZ50" s="47">
        <f t="shared" si="21"/>
        <v>11077918.848459296</v>
      </c>
      <c r="BA50" s="47">
        <f t="shared" si="21"/>
        <v>11527855.843250964</v>
      </c>
      <c r="BC50" s="47">
        <f>BC46+BC48</f>
        <v>11527855.84325096</v>
      </c>
    </row>
    <row r="51" spans="1:55" ht="12.75" customHeight="1" x14ac:dyDescent="0.25"/>
    <row r="52" spans="1:55" ht="12.75" customHeight="1" x14ac:dyDescent="0.25"/>
    <row r="53" spans="1:55" ht="12.75" hidden="1" customHeight="1" x14ac:dyDescent="0.25">
      <c r="B53" s="1" t="s">
        <v>185</v>
      </c>
      <c r="C53" s="25">
        <f t="shared" ref="C53:AH53" si="22">C10+C12</f>
        <v>0</v>
      </c>
      <c r="D53" s="25">
        <f t="shared" si="22"/>
        <v>0</v>
      </c>
      <c r="E53" s="25">
        <f t="shared" si="22"/>
        <v>57979.249999999993</v>
      </c>
      <c r="F53" s="25">
        <f t="shared" si="22"/>
        <v>244892.95774999997</v>
      </c>
      <c r="G53" s="25">
        <f t="shared" si="22"/>
        <v>261782.12724999999</v>
      </c>
      <c r="H53" s="25">
        <f t="shared" si="22"/>
        <v>270811.66875000001</v>
      </c>
      <c r="I53" s="25">
        <f t="shared" si="22"/>
        <v>295337.94937499997</v>
      </c>
      <c r="J53" s="25">
        <f t="shared" si="22"/>
        <v>295337.94937499997</v>
      </c>
      <c r="K53" s="25">
        <f t="shared" si="22"/>
        <v>253337.54249999998</v>
      </c>
      <c r="L53" s="25">
        <f t="shared" si="22"/>
        <v>261782.12724999999</v>
      </c>
      <c r="M53" s="25">
        <f t="shared" si="22"/>
        <v>244892.95774999997</v>
      </c>
      <c r="N53" s="25">
        <f t="shared" si="22"/>
        <v>267454.84359999996</v>
      </c>
      <c r="O53" s="25">
        <f t="shared" si="22"/>
        <v>160447.11024999997</v>
      </c>
      <c r="P53" s="25">
        <f t="shared" si="22"/>
        <v>228003.78824999998</v>
      </c>
      <c r="Q53" s="25">
        <f t="shared" si="22"/>
        <v>261782.12724999999</v>
      </c>
      <c r="R53" s="25">
        <f t="shared" si="22"/>
        <v>259791.43225000001</v>
      </c>
      <c r="S53" s="25">
        <f t="shared" si="22"/>
        <v>277708.08275</v>
      </c>
      <c r="T53" s="25">
        <f t="shared" si="22"/>
        <v>288098.78999999998</v>
      </c>
      <c r="U53" s="25">
        <f t="shared" si="22"/>
        <v>316301.15299999999</v>
      </c>
      <c r="V53" s="25">
        <f t="shared" si="22"/>
        <v>316301.15299999999</v>
      </c>
      <c r="W53" s="25">
        <f t="shared" si="22"/>
        <v>268749.75749999995</v>
      </c>
      <c r="X53" s="25">
        <f t="shared" si="22"/>
        <v>277708.08275</v>
      </c>
      <c r="Y53" s="25">
        <f t="shared" si="22"/>
        <v>259791.43225000001</v>
      </c>
      <c r="Z53" s="25">
        <f t="shared" si="22"/>
        <v>282822.82699999999</v>
      </c>
      <c r="AA53" s="25">
        <f t="shared" si="22"/>
        <v>161249.85449999999</v>
      </c>
      <c r="AB53" s="25">
        <f t="shared" si="22"/>
        <v>250833.10699999996</v>
      </c>
      <c r="AC53" s="25">
        <f t="shared" si="22"/>
        <v>277708.08275</v>
      </c>
      <c r="AD53" s="25">
        <f t="shared" si="22"/>
        <v>279148.04049999994</v>
      </c>
      <c r="AE53" s="25">
        <f t="shared" si="22"/>
        <v>298399.62949999998</v>
      </c>
      <c r="AF53" s="25">
        <f t="shared" si="22"/>
        <v>303923.07749999996</v>
      </c>
      <c r="AG53" s="25">
        <f t="shared" si="22"/>
        <v>332652.91674999997</v>
      </c>
      <c r="AH53" s="25">
        <f t="shared" si="22"/>
        <v>332652.91674999997</v>
      </c>
      <c r="AI53" s="25">
        <f t="shared" ref="AI53:BA53" si="23">AI10+AI12</f>
        <v>283449.10124999995</v>
      </c>
      <c r="AJ53" s="25">
        <f t="shared" si="23"/>
        <v>292897.40462500002</v>
      </c>
      <c r="AK53" s="25">
        <f t="shared" si="23"/>
        <v>274000.79787499999</v>
      </c>
      <c r="AL53" s="25">
        <f t="shared" si="23"/>
        <v>298399.62949999998</v>
      </c>
      <c r="AM53" s="25">
        <f t="shared" si="23"/>
        <v>179517.76412499999</v>
      </c>
      <c r="AN53" s="25">
        <f t="shared" si="23"/>
        <v>255104.19112499998</v>
      </c>
      <c r="AO53" s="25">
        <f t="shared" si="23"/>
        <v>292897.40462500002</v>
      </c>
      <c r="AP53" s="25">
        <f t="shared" si="23"/>
        <v>294191.53312499996</v>
      </c>
      <c r="AQ53" s="25">
        <f t="shared" si="23"/>
        <v>308978.37949999998</v>
      </c>
      <c r="AR53" s="25">
        <f t="shared" si="23"/>
        <v>314160.57749999996</v>
      </c>
      <c r="AS53" s="25">
        <f t="shared" si="23"/>
        <v>343231.66674999997</v>
      </c>
      <c r="AT53" s="25">
        <f t="shared" si="23"/>
        <v>343231.66674999997</v>
      </c>
      <c r="AU53" s="25">
        <f t="shared" si="23"/>
        <v>294811.54499999993</v>
      </c>
      <c r="AV53" s="25">
        <f t="shared" si="23"/>
        <v>304638.59649999999</v>
      </c>
      <c r="AW53" s="25">
        <f t="shared" si="23"/>
        <v>283897.04787499999</v>
      </c>
      <c r="AX53" s="25">
        <f t="shared" si="23"/>
        <v>308978.37949999998</v>
      </c>
      <c r="AY53" s="25">
        <f t="shared" si="23"/>
        <v>186001.51412499999</v>
      </c>
      <c r="AZ53" s="25">
        <f t="shared" si="23"/>
        <v>264317.94112500001</v>
      </c>
      <c r="BA53" s="25">
        <f t="shared" si="23"/>
        <v>303476.15462500002</v>
      </c>
    </row>
    <row r="54" spans="1:55" ht="12.75" hidden="1" customHeight="1" x14ac:dyDescent="0.25">
      <c r="B54" s="1" t="s">
        <v>186</v>
      </c>
      <c r="C54" s="25">
        <f t="shared" ref="C54:AH54" si="24">-(C36+C31+C29+C27+C25+C23)</f>
        <v>-52500</v>
      </c>
      <c r="D54" s="25">
        <f t="shared" si="24"/>
        <v>0</v>
      </c>
      <c r="E54" s="25">
        <f t="shared" si="24"/>
        <v>-140352.90979487181</v>
      </c>
      <c r="F54" s="25">
        <f t="shared" si="24"/>
        <v>-140018.24016666668</v>
      </c>
      <c r="G54" s="25">
        <f t="shared" si="24"/>
        <v>-145043.90816666666</v>
      </c>
      <c r="H54" s="25">
        <f t="shared" si="24"/>
        <v>-142531.07416666666</v>
      </c>
      <c r="I54" s="25">
        <f t="shared" si="24"/>
        <v>-145043.90816666666</v>
      </c>
      <c r="J54" s="25">
        <f t="shared" si="24"/>
        <v>-145043.90816666666</v>
      </c>
      <c r="K54" s="25">
        <f t="shared" si="24"/>
        <v>-142531.07416666666</v>
      </c>
      <c r="L54" s="25">
        <f t="shared" si="24"/>
        <v>-145043.90816666666</v>
      </c>
      <c r="M54" s="25">
        <f t="shared" si="24"/>
        <v>-140018.24016666668</v>
      </c>
      <c r="N54" s="25">
        <f t="shared" si="24"/>
        <v>-145043.90816666666</v>
      </c>
      <c r="O54" s="25">
        <f t="shared" si="24"/>
        <v>-114889.90016666667</v>
      </c>
      <c r="P54" s="25">
        <f t="shared" si="24"/>
        <v>-134992.57216666668</v>
      </c>
      <c r="Q54" s="25">
        <f t="shared" si="24"/>
        <v>-145043.90816666666</v>
      </c>
      <c r="R54" s="25">
        <f t="shared" si="24"/>
        <v>-140018.24016666668</v>
      </c>
      <c r="S54" s="25">
        <f t="shared" si="24"/>
        <v>-145043.90816666666</v>
      </c>
      <c r="T54" s="25">
        <f t="shared" si="24"/>
        <v>-142531.07416666666</v>
      </c>
      <c r="U54" s="25">
        <f t="shared" si="24"/>
        <v>-145043.90816666666</v>
      </c>
      <c r="V54" s="25">
        <f t="shared" si="24"/>
        <v>-145043.90816666666</v>
      </c>
      <c r="W54" s="25">
        <f t="shared" si="24"/>
        <v>-142531.07416666666</v>
      </c>
      <c r="X54" s="25">
        <f t="shared" si="24"/>
        <v>-145043.90816666666</v>
      </c>
      <c r="Y54" s="25">
        <f t="shared" si="24"/>
        <v>-140018.24016666668</v>
      </c>
      <c r="Z54" s="25">
        <f t="shared" si="24"/>
        <v>-145043.90816666666</v>
      </c>
      <c r="AA54" s="25">
        <f t="shared" si="24"/>
        <v>-112377.06616666667</v>
      </c>
      <c r="AB54" s="25">
        <f t="shared" si="24"/>
        <v>-137505.40616666668</v>
      </c>
      <c r="AC54" s="25">
        <f t="shared" si="24"/>
        <v>-145043.90816666666</v>
      </c>
      <c r="AD54" s="25">
        <f t="shared" si="24"/>
        <v>-140018.24016666668</v>
      </c>
      <c r="AE54" s="25">
        <f t="shared" si="24"/>
        <v>-145043.90816666666</v>
      </c>
      <c r="AF54" s="25">
        <f t="shared" si="24"/>
        <v>-142531.07416666666</v>
      </c>
      <c r="AG54" s="25">
        <f t="shared" si="24"/>
        <v>-145043.90816666666</v>
      </c>
      <c r="AH54" s="25">
        <f t="shared" si="24"/>
        <v>-145043.90816666666</v>
      </c>
      <c r="AI54" s="25">
        <f t="shared" ref="AI54:BA54" si="25">-(AI36+AI31+AI29+AI27+AI25+AI23)</f>
        <v>-142531.07416666666</v>
      </c>
      <c r="AJ54" s="25">
        <f t="shared" si="25"/>
        <v>-145043.90816666666</v>
      </c>
      <c r="AK54" s="25">
        <f t="shared" si="25"/>
        <v>-140018.24016666668</v>
      </c>
      <c r="AL54" s="25">
        <f t="shared" si="25"/>
        <v>-145043.90816666666</v>
      </c>
      <c r="AM54" s="25">
        <f t="shared" si="25"/>
        <v>-114889.90016666667</v>
      </c>
      <c r="AN54" s="25">
        <f t="shared" si="25"/>
        <v>-134992.57216666668</v>
      </c>
      <c r="AO54" s="25">
        <f t="shared" si="25"/>
        <v>-145043.90816666666</v>
      </c>
      <c r="AP54" s="25">
        <f t="shared" si="25"/>
        <v>-140018.24016666668</v>
      </c>
      <c r="AQ54" s="25">
        <f t="shared" si="25"/>
        <v>-145043.90816666666</v>
      </c>
      <c r="AR54" s="25">
        <f t="shared" si="25"/>
        <v>-142531.07416666666</v>
      </c>
      <c r="AS54" s="25">
        <f t="shared" si="25"/>
        <v>-145043.90816666666</v>
      </c>
      <c r="AT54" s="25">
        <f t="shared" si="25"/>
        <v>-145043.90816666666</v>
      </c>
      <c r="AU54" s="25">
        <f t="shared" si="25"/>
        <v>-142531.07416666666</v>
      </c>
      <c r="AV54" s="25">
        <f t="shared" si="25"/>
        <v>-145043.90816666666</v>
      </c>
      <c r="AW54" s="25">
        <f t="shared" si="25"/>
        <v>-140018.24016666668</v>
      </c>
      <c r="AX54" s="25">
        <f t="shared" si="25"/>
        <v>-145043.90816666666</v>
      </c>
      <c r="AY54" s="25">
        <f t="shared" si="25"/>
        <v>-114889.90016666667</v>
      </c>
      <c r="AZ54" s="25">
        <f t="shared" si="25"/>
        <v>-134992.57216666668</v>
      </c>
      <c r="BA54" s="25">
        <f t="shared" si="25"/>
        <v>-145043.90816666666</v>
      </c>
    </row>
    <row r="55" spans="1:55" ht="12.75" hidden="1" customHeight="1" x14ac:dyDescent="0.25">
      <c r="B55" s="1" t="s">
        <v>187</v>
      </c>
      <c r="C55" s="25">
        <f t="shared" ref="C55:AH55" si="26">C53+C54</f>
        <v>-52500</v>
      </c>
      <c r="D55" s="25">
        <f t="shared" si="26"/>
        <v>0</v>
      </c>
      <c r="E55" s="25">
        <f t="shared" si="26"/>
        <v>-82373.659794871812</v>
      </c>
      <c r="F55" s="25">
        <f t="shared" si="26"/>
        <v>104874.71758333329</v>
      </c>
      <c r="G55" s="25">
        <f t="shared" si="26"/>
        <v>116738.21908333333</v>
      </c>
      <c r="H55" s="25">
        <f t="shared" si="26"/>
        <v>128280.59458333335</v>
      </c>
      <c r="I55" s="25">
        <f t="shared" si="26"/>
        <v>150294.04120833331</v>
      </c>
      <c r="J55" s="25">
        <f t="shared" si="26"/>
        <v>150294.04120833331</v>
      </c>
      <c r="K55" s="25">
        <f t="shared" si="26"/>
        <v>110806.46833333332</v>
      </c>
      <c r="L55" s="25">
        <f t="shared" si="26"/>
        <v>116738.21908333333</v>
      </c>
      <c r="M55" s="25">
        <f t="shared" si="26"/>
        <v>104874.71758333329</v>
      </c>
      <c r="N55" s="25">
        <f t="shared" si="26"/>
        <v>122410.9354333333</v>
      </c>
      <c r="O55" s="25">
        <f t="shared" si="26"/>
        <v>45557.210083333295</v>
      </c>
      <c r="P55" s="25">
        <f t="shared" si="26"/>
        <v>93011.216083333304</v>
      </c>
      <c r="Q55" s="25">
        <f t="shared" si="26"/>
        <v>116738.21908333333</v>
      </c>
      <c r="R55" s="25">
        <f t="shared" si="26"/>
        <v>119773.19208333333</v>
      </c>
      <c r="S55" s="25">
        <f t="shared" si="26"/>
        <v>132664.17458333334</v>
      </c>
      <c r="T55" s="25">
        <f t="shared" si="26"/>
        <v>145567.71583333332</v>
      </c>
      <c r="U55" s="25">
        <f t="shared" si="26"/>
        <v>171257.24483333333</v>
      </c>
      <c r="V55" s="25">
        <f t="shared" si="26"/>
        <v>171257.24483333333</v>
      </c>
      <c r="W55" s="25">
        <f t="shared" si="26"/>
        <v>126218.68333333329</v>
      </c>
      <c r="X55" s="25">
        <f t="shared" si="26"/>
        <v>132664.17458333334</v>
      </c>
      <c r="Y55" s="25">
        <f t="shared" si="26"/>
        <v>119773.19208333333</v>
      </c>
      <c r="Z55" s="25">
        <f t="shared" si="26"/>
        <v>137778.91883333333</v>
      </c>
      <c r="AA55" s="25">
        <f t="shared" si="26"/>
        <v>48872.788333333316</v>
      </c>
      <c r="AB55" s="25">
        <f t="shared" si="26"/>
        <v>113327.70083333328</v>
      </c>
      <c r="AC55" s="25">
        <f t="shared" si="26"/>
        <v>132664.17458333334</v>
      </c>
      <c r="AD55" s="25">
        <f t="shared" si="26"/>
        <v>139129.80033333326</v>
      </c>
      <c r="AE55" s="25">
        <f t="shared" si="26"/>
        <v>153355.72133333332</v>
      </c>
      <c r="AF55" s="25">
        <f t="shared" si="26"/>
        <v>161392.0033333333</v>
      </c>
      <c r="AG55" s="25">
        <f t="shared" si="26"/>
        <v>187609.00858333331</v>
      </c>
      <c r="AH55" s="25">
        <f t="shared" si="26"/>
        <v>187609.00858333331</v>
      </c>
      <c r="AI55" s="25">
        <f t="shared" ref="AI55:BA55" si="27">AI53+AI54</f>
        <v>140918.02708333329</v>
      </c>
      <c r="AJ55" s="25">
        <f t="shared" si="27"/>
        <v>147853.49645833336</v>
      </c>
      <c r="AK55" s="25">
        <f t="shared" si="27"/>
        <v>133982.5577083333</v>
      </c>
      <c r="AL55" s="25">
        <f t="shared" si="27"/>
        <v>153355.72133333332</v>
      </c>
      <c r="AM55" s="25">
        <f t="shared" si="27"/>
        <v>64627.863958333313</v>
      </c>
      <c r="AN55" s="25">
        <f t="shared" si="27"/>
        <v>120111.6189583333</v>
      </c>
      <c r="AO55" s="25">
        <f t="shared" si="27"/>
        <v>147853.49645833336</v>
      </c>
      <c r="AP55" s="25">
        <f t="shared" si="27"/>
        <v>154173.29295833327</v>
      </c>
      <c r="AQ55" s="25">
        <f t="shared" si="27"/>
        <v>163934.47133333332</v>
      </c>
      <c r="AR55" s="25">
        <f t="shared" si="27"/>
        <v>171629.5033333333</v>
      </c>
      <c r="AS55" s="25">
        <f t="shared" si="27"/>
        <v>198187.75858333331</v>
      </c>
      <c r="AT55" s="25">
        <f t="shared" si="27"/>
        <v>198187.75858333331</v>
      </c>
      <c r="AU55" s="25">
        <f t="shared" si="27"/>
        <v>152280.47083333327</v>
      </c>
      <c r="AV55" s="25">
        <f t="shared" si="27"/>
        <v>159594.68833333332</v>
      </c>
      <c r="AW55" s="25">
        <f t="shared" si="27"/>
        <v>143878.8077083333</v>
      </c>
      <c r="AX55" s="25">
        <f t="shared" si="27"/>
        <v>163934.47133333332</v>
      </c>
      <c r="AY55" s="25">
        <f t="shared" si="27"/>
        <v>71111.613958333313</v>
      </c>
      <c r="AZ55" s="25">
        <f t="shared" si="27"/>
        <v>129325.36895833333</v>
      </c>
      <c r="BA55" s="25">
        <f t="shared" si="27"/>
        <v>158432.24645833336</v>
      </c>
    </row>
    <row r="56" spans="1:55" ht="12.75" hidden="1" customHeight="1" x14ac:dyDescent="0.25"/>
    <row r="57" spans="1:55" ht="12.75" hidden="1" customHeight="1" x14ac:dyDescent="0.25"/>
    <row r="58" spans="1:55" ht="12.75" hidden="1" customHeight="1" x14ac:dyDescent="0.3">
      <c r="B58" s="36" t="s">
        <v>178</v>
      </c>
    </row>
    <row r="59" spans="1:55" ht="12.75" hidden="1" customHeight="1" x14ac:dyDescent="0.25"/>
    <row r="60" spans="1:55" ht="12.75" hidden="1" customHeight="1" x14ac:dyDescent="0.3">
      <c r="B60" s="2" t="s">
        <v>188</v>
      </c>
      <c r="C60" s="8" t="s">
        <v>193</v>
      </c>
      <c r="D60" s="8" t="s">
        <v>194</v>
      </c>
      <c r="E60" s="8" t="s">
        <v>195</v>
      </c>
      <c r="F60" s="8" t="s">
        <v>189</v>
      </c>
      <c r="G60" s="8" t="s">
        <v>70</v>
      </c>
      <c r="H60" s="8" t="s">
        <v>72</v>
      </c>
      <c r="I60" s="8" t="s">
        <v>60</v>
      </c>
      <c r="J60" s="8" t="s">
        <v>190</v>
      </c>
      <c r="L60" s="8" t="s">
        <v>191</v>
      </c>
    </row>
    <row r="61" spans="1:55" ht="12.75" hidden="1" customHeight="1" x14ac:dyDescent="0.3">
      <c r="B61" s="69">
        <v>2006</v>
      </c>
      <c r="C61" s="25">
        <v>0</v>
      </c>
      <c r="D61" s="25">
        <f>-'P_L Summary'!C78</f>
        <v>-182615.72938461541</v>
      </c>
      <c r="J61" s="25">
        <f>C61+D61-SUM(E61:I61)</f>
        <v>-182615.72938461541</v>
      </c>
      <c r="L61" s="25">
        <f>SUM(E61:I61)</f>
        <v>0</v>
      </c>
    </row>
    <row r="62" spans="1:55" ht="12.75" hidden="1" customHeight="1" x14ac:dyDescent="0.3">
      <c r="B62" s="69">
        <v>2007</v>
      </c>
      <c r="C62" s="25">
        <f>J61</f>
        <v>-182615.72938461541</v>
      </c>
      <c r="D62" s="25">
        <f>-'P_L Summary'!D78</f>
        <v>143835.35265595725</v>
      </c>
      <c r="G62" s="25">
        <f>$D$62/4</f>
        <v>35958.838163989312</v>
      </c>
      <c r="H62" s="25">
        <f>D61</f>
        <v>-182615.72938461541</v>
      </c>
      <c r="I62" s="25">
        <f>$D$62/4</f>
        <v>35958.838163989312</v>
      </c>
      <c r="J62" s="25">
        <f>C62+D62-SUM(E62:I62)</f>
        <v>71917.676327978639</v>
      </c>
      <c r="L62" s="25">
        <f>SUM(E62:I62)</f>
        <v>-110698.0530566368</v>
      </c>
    </row>
    <row r="63" spans="1:55" ht="12.75" hidden="1" customHeight="1" x14ac:dyDescent="0.3">
      <c r="B63" s="69">
        <v>2008</v>
      </c>
      <c r="C63" s="25">
        <f>J62</f>
        <v>71917.676327978639</v>
      </c>
      <c r="D63" s="25">
        <f>-'P_L Summary'!E78</f>
        <v>502082.40106692235</v>
      </c>
      <c r="E63" s="25">
        <f>$D$62/4</f>
        <v>35958.838163989312</v>
      </c>
      <c r="F63" s="25">
        <f>$D$62/4</f>
        <v>35958.838163989312</v>
      </c>
      <c r="G63" s="25">
        <f>$D$63/4</f>
        <v>125520.60026673059</v>
      </c>
      <c r="H63" s="70">
        <v>0</v>
      </c>
      <c r="I63" s="25">
        <f>$D$63/4</f>
        <v>125520.60026673059</v>
      </c>
      <c r="J63" s="25">
        <f>C63+D63-SUM(E63:I63)</f>
        <v>251041.20053346117</v>
      </c>
      <c r="L63" s="25">
        <f>SUM(E63:I63)</f>
        <v>322958.87686143978</v>
      </c>
    </row>
    <row r="64" spans="1:55" ht="12.75" hidden="1" customHeight="1" x14ac:dyDescent="0.3">
      <c r="B64" s="69">
        <v>2009</v>
      </c>
      <c r="C64" s="25">
        <f>J63</f>
        <v>251041.20053346117</v>
      </c>
      <c r="D64" s="25">
        <f>-'P_L Summary'!F78</f>
        <v>837051.47488203156</v>
      </c>
      <c r="E64" s="25">
        <f>$D$63/4</f>
        <v>125520.60026673059</v>
      </c>
      <c r="F64" s="25">
        <f>$D$63/4</f>
        <v>125520.60026673059</v>
      </c>
      <c r="G64" s="25">
        <f>$D$64/4</f>
        <v>209262.86872050789</v>
      </c>
      <c r="H64" s="70">
        <v>0</v>
      </c>
      <c r="I64" s="25">
        <f>$D$64/4</f>
        <v>209262.86872050789</v>
      </c>
      <c r="J64" s="25">
        <f>C64+D64-SUM(E64:I64)</f>
        <v>418525.73744101566</v>
      </c>
      <c r="L64" s="25">
        <f>SUM(E64:I64)</f>
        <v>669566.93797447695</v>
      </c>
    </row>
    <row r="65" spans="2:12" ht="12.75" hidden="1" customHeight="1" x14ac:dyDescent="0.3">
      <c r="B65" s="69">
        <v>2010</v>
      </c>
      <c r="C65" s="25">
        <f>J64</f>
        <v>418525.73744101566</v>
      </c>
      <c r="D65" s="25">
        <f>-'P_L Summary'!G78</f>
        <v>1054680.2727890902</v>
      </c>
      <c r="E65" s="25">
        <f>$D$64/4</f>
        <v>209262.86872050789</v>
      </c>
      <c r="F65" s="25">
        <f>$D$64/4</f>
        <v>209262.86872050789</v>
      </c>
      <c r="G65" s="25">
        <f>$D$65/4</f>
        <v>263670.06819727254</v>
      </c>
      <c r="H65" s="70">
        <v>0</v>
      </c>
      <c r="I65" s="25">
        <f>$D$65/4</f>
        <v>263670.06819727254</v>
      </c>
      <c r="J65" s="25">
        <f>C65+D65-SUM(E65:I65)</f>
        <v>527340.13639454497</v>
      </c>
      <c r="L65" s="25">
        <f>SUM(E65:I65)</f>
        <v>945865.87383556087</v>
      </c>
    </row>
    <row r="66" spans="2:12" ht="12.75" hidden="1" customHeight="1" x14ac:dyDescent="0.25"/>
    <row r="67" spans="2:12" ht="12.75" hidden="1" customHeight="1" x14ac:dyDescent="0.25">
      <c r="B67" s="1" t="s">
        <v>192</v>
      </c>
    </row>
    <row r="68" spans="2:12" ht="12.75" hidden="1" customHeight="1" x14ac:dyDescent="0.25"/>
    <row r="69" spans="2:12" ht="12.75" hidden="1" customHeight="1" x14ac:dyDescent="0.25"/>
    <row r="70" spans="2:12" ht="12.75" hidden="1" customHeight="1" x14ac:dyDescent="0.25"/>
    <row r="71" spans="2:12" ht="12.75" hidden="1" customHeight="1" x14ac:dyDescent="0.25"/>
    <row r="72" spans="2:12" ht="12.75" hidden="1" customHeight="1" x14ac:dyDescent="0.25"/>
    <row r="73" spans="2:12" ht="12.75" customHeight="1" x14ac:dyDescent="0.25"/>
    <row r="74" spans="2:12" ht="12.75" customHeight="1" x14ac:dyDescent="0.25"/>
    <row r="75" spans="2:12" ht="12.75" customHeight="1" x14ac:dyDescent="0.25"/>
    <row r="76" spans="2:12" ht="12.75" customHeight="1" x14ac:dyDescent="0.25"/>
    <row r="77" spans="2:12" ht="12.75" customHeight="1" x14ac:dyDescent="0.25"/>
    <row r="78" spans="2:12" ht="12.75" customHeight="1" x14ac:dyDescent="0.25"/>
    <row r="79" spans="2:12" ht="12.75" customHeight="1" x14ac:dyDescent="0.25"/>
    <row r="80" spans="2:12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scale="58" firstPageNumber="0" orientation="landscape" horizontalDpi="300" verticalDpi="3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32"/>
  <sheetViews>
    <sheetView zoomScaleSheetLayoutView="75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ColWidth="9.08984375" defaultRowHeight="12.5" x14ac:dyDescent="0.25"/>
  <cols>
    <col min="1" max="1" width="2.453125" style="1" customWidth="1"/>
    <col min="2" max="2" width="28.81640625" style="1" customWidth="1"/>
    <col min="3" max="44" width="10.7265625" style="25" customWidth="1"/>
    <col min="45" max="45" width="11.54296875" style="25" customWidth="1"/>
    <col min="46" max="46" width="12" style="25" customWidth="1"/>
    <col min="47" max="47" width="12.54296875" style="25" customWidth="1"/>
    <col min="48" max="48" width="12.08984375" style="25" customWidth="1"/>
    <col min="49" max="49" width="12" style="25" customWidth="1"/>
    <col min="50" max="50" width="12.54296875" style="25" customWidth="1"/>
    <col min="51" max="51" width="12" style="25" customWidth="1"/>
    <col min="52" max="52" width="12.08984375" style="25" customWidth="1"/>
    <col min="53" max="53" width="12" style="25" customWidth="1"/>
    <col min="54" max="16384" width="9.08984375" style="1"/>
  </cols>
  <sheetData>
    <row r="1" spans="1:53" ht="15.5" x14ac:dyDescent="0.35">
      <c r="A1" s="26" t="s">
        <v>240</v>
      </c>
      <c r="B1" s="27"/>
    </row>
    <row r="2" spans="1:53" ht="15.5" x14ac:dyDescent="0.35">
      <c r="A2" s="26" t="s">
        <v>153</v>
      </c>
      <c r="B2" s="27"/>
    </row>
    <row r="3" spans="1:53" ht="15.5" x14ac:dyDescent="0.35">
      <c r="A3" s="26" t="s">
        <v>81</v>
      </c>
      <c r="B3" s="27"/>
      <c r="E3" s="60"/>
    </row>
    <row r="5" spans="1:53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</row>
    <row r="6" spans="1:53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</row>
    <row r="7" spans="1:53" ht="15.5" x14ac:dyDescent="0.35">
      <c r="A7" s="26" t="s">
        <v>155</v>
      </c>
    </row>
    <row r="8" spans="1:53" x14ac:dyDescent="0.25">
      <c r="B8" s="34" t="s">
        <v>156</v>
      </c>
      <c r="E8" s="25">
        <v>100000</v>
      </c>
    </row>
    <row r="9" spans="1:53" x14ac:dyDescent="0.25">
      <c r="B9" s="34" t="s">
        <v>157</v>
      </c>
      <c r="C9" s="25">
        <f>P_L!C8</f>
        <v>0</v>
      </c>
      <c r="D9" s="25">
        <f>P_L!D8</f>
        <v>0</v>
      </c>
      <c r="E9" s="25">
        <f>P_L!E8</f>
        <v>329000</v>
      </c>
      <c r="F9" s="25">
        <f>P_L!F8</f>
        <v>1390274.5</v>
      </c>
      <c r="G9" s="25">
        <f>P_L!G8</f>
        <v>1486155.5</v>
      </c>
      <c r="H9" s="25">
        <f>P_L!H8</f>
        <v>1523925</v>
      </c>
      <c r="I9" s="25">
        <f>P_L!I8</f>
        <v>1663289.5</v>
      </c>
      <c r="J9" s="25">
        <f>P_L!J8</f>
        <v>1663289.5</v>
      </c>
      <c r="K9" s="25">
        <f>P_L!K8</f>
        <v>1438215</v>
      </c>
      <c r="L9" s="25">
        <f>P_L!L8</f>
        <v>1486155.5</v>
      </c>
      <c r="M9" s="25">
        <f>P_L!M8</f>
        <v>1390274.5</v>
      </c>
      <c r="N9" s="25">
        <f>P_L!N8</f>
        <v>1512725.5999999999</v>
      </c>
      <c r="O9" s="25">
        <f>P_L!O8</f>
        <v>910869.5</v>
      </c>
      <c r="P9" s="25">
        <f>P_L!P8</f>
        <v>1294393.5</v>
      </c>
      <c r="Q9" s="25">
        <f>P_L!Q8</f>
        <v>1486155.5</v>
      </c>
      <c r="R9" s="25">
        <f>P_L!R8</f>
        <v>1470851.7250000001</v>
      </c>
      <c r="S9" s="25">
        <f>P_L!S8</f>
        <v>1572289.7750000001</v>
      </c>
      <c r="T9" s="25">
        <f>P_L!T8</f>
        <v>1617994.5</v>
      </c>
      <c r="U9" s="25">
        <f>P_L!U8</f>
        <v>1778208.05</v>
      </c>
      <c r="V9" s="25">
        <f>P_L!V8</f>
        <v>1778208.05</v>
      </c>
      <c r="W9" s="25">
        <f>P_L!W8</f>
        <v>1521570.75</v>
      </c>
      <c r="X9" s="25">
        <f>P_L!X8</f>
        <v>1572289.7750000001</v>
      </c>
      <c r="Y9" s="25">
        <f>P_L!Y8</f>
        <v>1470851.7250000001</v>
      </c>
      <c r="Z9" s="25">
        <f>P_L!Z8</f>
        <v>1596645.7</v>
      </c>
      <c r="AA9" s="25">
        <f>P_L!AA8</f>
        <v>912942.45000000007</v>
      </c>
      <c r="AB9" s="25">
        <f>P_L!AB8</f>
        <v>1420132.7</v>
      </c>
      <c r="AC9" s="25">
        <f>P_L!AC8</f>
        <v>1572289.7750000001</v>
      </c>
      <c r="AD9" s="25">
        <f>P_L!AD8</f>
        <v>1576904</v>
      </c>
      <c r="AE9" s="25">
        <f>P_L!AE8</f>
        <v>1685656</v>
      </c>
      <c r="AF9" s="25">
        <f>P_L!AF8</f>
        <v>1708419</v>
      </c>
      <c r="AG9" s="25">
        <f>P_L!AG8</f>
        <v>1871646.7</v>
      </c>
      <c r="AH9" s="25">
        <f>P_L!AH8</f>
        <v>1871646.7</v>
      </c>
      <c r="AI9" s="25">
        <f>P_L!AI8</f>
        <v>1605567</v>
      </c>
      <c r="AJ9" s="25">
        <f>P_L!AJ8</f>
        <v>1659085.9000000001</v>
      </c>
      <c r="AK9" s="25">
        <f>P_L!AK8</f>
        <v>1552048.1</v>
      </c>
      <c r="AL9" s="25">
        <f>P_L!AL8</f>
        <v>1685656</v>
      </c>
      <c r="AM9" s="25">
        <f>P_L!AM8</f>
        <v>1016859.1</v>
      </c>
      <c r="AN9" s="25">
        <f>P_L!AN8</f>
        <v>1445010.3</v>
      </c>
      <c r="AO9" s="25">
        <f>P_L!AO8</f>
        <v>1659085.9000000001</v>
      </c>
      <c r="AP9" s="25">
        <f>P_L!AP8</f>
        <v>1658309.9</v>
      </c>
      <c r="AQ9" s="25">
        <f>P_L!AQ8</f>
        <v>1746106</v>
      </c>
      <c r="AR9" s="25">
        <f>P_L!AR8</f>
        <v>1766919</v>
      </c>
      <c r="AS9" s="25">
        <f>P_L!AS8</f>
        <v>1932096.7</v>
      </c>
      <c r="AT9" s="25">
        <f>P_L!AT8</f>
        <v>1932096.7</v>
      </c>
      <c r="AU9" s="25">
        <f>P_L!AU8</f>
        <v>1670495.25</v>
      </c>
      <c r="AV9" s="25">
        <f>P_L!AV8</f>
        <v>1726178.425</v>
      </c>
      <c r="AW9" s="25">
        <f>P_L!AW8</f>
        <v>1608598.1</v>
      </c>
      <c r="AX9" s="25">
        <f>P_L!AX8</f>
        <v>1746106</v>
      </c>
      <c r="AY9" s="25">
        <f>P_L!AY8</f>
        <v>1053909.1000000001</v>
      </c>
      <c r="AZ9" s="25">
        <f>P_L!AZ8</f>
        <v>1497660.3</v>
      </c>
      <c r="BA9" s="25">
        <f>P_L!BA8</f>
        <v>1719535.9000000001</v>
      </c>
    </row>
    <row r="10" spans="1:53" x14ac:dyDescent="0.25">
      <c r="B10" s="34" t="s">
        <v>158</v>
      </c>
      <c r="C10" s="25">
        <f t="shared" ref="C10:AH10" si="0">C9*0.175</f>
        <v>0</v>
      </c>
      <c r="D10" s="25">
        <f t="shared" si="0"/>
        <v>0</v>
      </c>
      <c r="E10" s="25">
        <f t="shared" si="0"/>
        <v>57574.999999999993</v>
      </c>
      <c r="F10" s="25">
        <f t="shared" si="0"/>
        <v>243298.03749999998</v>
      </c>
      <c r="G10" s="25">
        <f t="shared" si="0"/>
        <v>260077.21249999999</v>
      </c>
      <c r="H10" s="25">
        <f t="shared" si="0"/>
        <v>266686.875</v>
      </c>
      <c r="I10" s="25">
        <f t="shared" si="0"/>
        <v>291075.66249999998</v>
      </c>
      <c r="J10" s="25">
        <f t="shared" si="0"/>
        <v>291075.66249999998</v>
      </c>
      <c r="K10" s="25">
        <f t="shared" si="0"/>
        <v>251687.62499999997</v>
      </c>
      <c r="L10" s="25">
        <f t="shared" si="0"/>
        <v>260077.21249999999</v>
      </c>
      <c r="M10" s="25">
        <f t="shared" si="0"/>
        <v>243298.03749999998</v>
      </c>
      <c r="N10" s="25">
        <f t="shared" si="0"/>
        <v>264726.98</v>
      </c>
      <c r="O10" s="25">
        <f t="shared" si="0"/>
        <v>159402.16249999998</v>
      </c>
      <c r="P10" s="25">
        <f t="shared" si="0"/>
        <v>226518.86249999999</v>
      </c>
      <c r="Q10" s="25">
        <f t="shared" si="0"/>
        <v>260077.21249999999</v>
      </c>
      <c r="R10" s="25">
        <f t="shared" si="0"/>
        <v>257399.051875</v>
      </c>
      <c r="S10" s="25">
        <f t="shared" si="0"/>
        <v>275150.71062500001</v>
      </c>
      <c r="T10" s="25">
        <f t="shared" si="0"/>
        <v>283149.03749999998</v>
      </c>
      <c r="U10" s="25">
        <f t="shared" si="0"/>
        <v>311186.40875</v>
      </c>
      <c r="V10" s="25">
        <f t="shared" si="0"/>
        <v>311186.40875</v>
      </c>
      <c r="W10" s="25">
        <f t="shared" si="0"/>
        <v>266274.88124999998</v>
      </c>
      <c r="X10" s="25">
        <f t="shared" si="0"/>
        <v>275150.71062500001</v>
      </c>
      <c r="Y10" s="25">
        <f t="shared" si="0"/>
        <v>257399.051875</v>
      </c>
      <c r="Z10" s="25">
        <f t="shared" si="0"/>
        <v>279412.9975</v>
      </c>
      <c r="AA10" s="25">
        <f t="shared" si="0"/>
        <v>159764.92874999999</v>
      </c>
      <c r="AB10" s="25">
        <f t="shared" si="0"/>
        <v>248523.22249999997</v>
      </c>
      <c r="AC10" s="25">
        <f t="shared" si="0"/>
        <v>275150.71062500001</v>
      </c>
      <c r="AD10" s="25">
        <f t="shared" si="0"/>
        <v>275958.19999999995</v>
      </c>
      <c r="AE10" s="25">
        <f t="shared" si="0"/>
        <v>294989.8</v>
      </c>
      <c r="AF10" s="25">
        <f t="shared" si="0"/>
        <v>298973.32499999995</v>
      </c>
      <c r="AG10" s="25">
        <f t="shared" si="0"/>
        <v>327538.17249999999</v>
      </c>
      <c r="AH10" s="25">
        <f t="shared" si="0"/>
        <v>327538.17249999999</v>
      </c>
      <c r="AI10" s="25">
        <f t="shared" ref="AI10:BA10" si="1">AI9*0.175</f>
        <v>280974.22499999998</v>
      </c>
      <c r="AJ10" s="25">
        <f t="shared" si="1"/>
        <v>290340.03250000003</v>
      </c>
      <c r="AK10" s="25">
        <f t="shared" si="1"/>
        <v>271608.41749999998</v>
      </c>
      <c r="AL10" s="25">
        <f t="shared" si="1"/>
        <v>294989.8</v>
      </c>
      <c r="AM10" s="25">
        <f t="shared" si="1"/>
        <v>177950.3425</v>
      </c>
      <c r="AN10" s="25">
        <f t="shared" si="1"/>
        <v>252876.80249999999</v>
      </c>
      <c r="AO10" s="25">
        <f t="shared" si="1"/>
        <v>290340.03250000003</v>
      </c>
      <c r="AP10" s="25">
        <f t="shared" si="1"/>
        <v>290204.23249999998</v>
      </c>
      <c r="AQ10" s="25">
        <f t="shared" si="1"/>
        <v>305568.55</v>
      </c>
      <c r="AR10" s="25">
        <f t="shared" si="1"/>
        <v>309210.82499999995</v>
      </c>
      <c r="AS10" s="25">
        <f t="shared" si="1"/>
        <v>338116.92249999999</v>
      </c>
      <c r="AT10" s="25">
        <f t="shared" si="1"/>
        <v>338116.92249999999</v>
      </c>
      <c r="AU10" s="25">
        <f t="shared" si="1"/>
        <v>292336.66874999995</v>
      </c>
      <c r="AV10" s="25">
        <f t="shared" si="1"/>
        <v>302081.22437499999</v>
      </c>
      <c r="AW10" s="25">
        <f t="shared" si="1"/>
        <v>281504.66749999998</v>
      </c>
      <c r="AX10" s="25">
        <f t="shared" si="1"/>
        <v>305568.55</v>
      </c>
      <c r="AY10" s="25">
        <f t="shared" si="1"/>
        <v>184434.0925</v>
      </c>
      <c r="AZ10" s="25">
        <f t="shared" si="1"/>
        <v>262090.55249999999</v>
      </c>
      <c r="BA10" s="25">
        <f t="shared" si="1"/>
        <v>300918.78250000003</v>
      </c>
    </row>
    <row r="11" spans="1:53" x14ac:dyDescent="0.25">
      <c r="B11" s="34" t="s">
        <v>159</v>
      </c>
      <c r="C11" s="25">
        <f>'P_L Workings'!C69</f>
        <v>0</v>
      </c>
      <c r="D11" s="25">
        <f>'P_L Workings'!D69</f>
        <v>0</v>
      </c>
      <c r="E11" s="25">
        <f>'P_L Workings'!E69</f>
        <v>2310</v>
      </c>
      <c r="F11" s="25">
        <f>'P_L Workings'!F69</f>
        <v>9113.83</v>
      </c>
      <c r="G11" s="25">
        <f>'P_L Workings'!G69</f>
        <v>9742.369999999999</v>
      </c>
      <c r="H11" s="25">
        <f>'P_L Workings'!H69</f>
        <v>23570.250000000007</v>
      </c>
      <c r="I11" s="25">
        <f>'P_L Workings'!I69</f>
        <v>24355.925000000007</v>
      </c>
      <c r="J11" s="25">
        <f>'P_L Workings'!J69</f>
        <v>24355.925000000007</v>
      </c>
      <c r="K11" s="25">
        <f>'P_L Workings'!K69</f>
        <v>9428.0999999999985</v>
      </c>
      <c r="L11" s="25">
        <f>'P_L Workings'!L69</f>
        <v>9742.369999999999</v>
      </c>
      <c r="M11" s="25">
        <f>'P_L Workings'!M69</f>
        <v>9113.83</v>
      </c>
      <c r="N11" s="25">
        <f>'P_L Workings'!N69</f>
        <v>15587.791999999999</v>
      </c>
      <c r="O11" s="25">
        <f>'P_L Workings'!O69</f>
        <v>5971.1299999999992</v>
      </c>
      <c r="P11" s="25">
        <f>'P_L Workings'!P69</f>
        <v>8485.2899999999991</v>
      </c>
      <c r="Q11" s="25">
        <f>'P_L Workings'!Q69</f>
        <v>9742.369999999999</v>
      </c>
      <c r="R11" s="25">
        <f>'P_L Workings'!R69</f>
        <v>13670.744999999999</v>
      </c>
      <c r="S11" s="25">
        <f>'P_L Workings'!S69</f>
        <v>14613.554999999998</v>
      </c>
      <c r="T11" s="25">
        <f>'P_L Workings'!T69</f>
        <v>28284.3</v>
      </c>
      <c r="U11" s="25">
        <f>'P_L Workings'!U69</f>
        <v>29227.109999999997</v>
      </c>
      <c r="V11" s="25">
        <f>'P_L Workings'!V69</f>
        <v>29227.109999999997</v>
      </c>
      <c r="W11" s="25">
        <f>'P_L Workings'!W69</f>
        <v>14142.15</v>
      </c>
      <c r="X11" s="25">
        <f>'P_L Workings'!X69</f>
        <v>14613.554999999998</v>
      </c>
      <c r="Y11" s="25">
        <f>'P_L Workings'!Y69</f>
        <v>13670.744999999999</v>
      </c>
      <c r="Z11" s="25">
        <f>'P_L Workings'!Z69</f>
        <v>19484.739999999998</v>
      </c>
      <c r="AA11" s="25">
        <f>'P_L Workings'!AA69</f>
        <v>8485.2899999999991</v>
      </c>
      <c r="AB11" s="25">
        <f>'P_L Workings'!AB69</f>
        <v>13199.34</v>
      </c>
      <c r="AC11" s="25">
        <f>'P_L Workings'!AC69</f>
        <v>14613.554999999998</v>
      </c>
      <c r="AD11" s="25">
        <f>'P_L Workings'!AD69</f>
        <v>18227.66</v>
      </c>
      <c r="AE11" s="25">
        <f>'P_L Workings'!AE69</f>
        <v>19484.739999999998</v>
      </c>
      <c r="AF11" s="25">
        <f>'P_L Workings'!AF69</f>
        <v>28284.3</v>
      </c>
      <c r="AG11" s="25">
        <f>'P_L Workings'!AG69</f>
        <v>29227.109999999997</v>
      </c>
      <c r="AH11" s="25">
        <f>'P_L Workings'!AH69</f>
        <v>29227.109999999997</v>
      </c>
      <c r="AI11" s="25">
        <f>'P_L Workings'!AI69</f>
        <v>14142.15</v>
      </c>
      <c r="AJ11" s="25">
        <f>'P_L Workings'!AJ69</f>
        <v>14613.554999999998</v>
      </c>
      <c r="AK11" s="25">
        <f>'P_L Workings'!AK69</f>
        <v>13670.744999999999</v>
      </c>
      <c r="AL11" s="25">
        <f>'P_L Workings'!AL69</f>
        <v>19484.739999999998</v>
      </c>
      <c r="AM11" s="25">
        <f>'P_L Workings'!AM69</f>
        <v>8956.6949999999997</v>
      </c>
      <c r="AN11" s="25">
        <f>'P_L Workings'!AN69</f>
        <v>12727.934999999999</v>
      </c>
      <c r="AO11" s="25">
        <f>'P_L Workings'!AO69</f>
        <v>14613.554999999998</v>
      </c>
      <c r="AP11" s="25">
        <f>'P_L Workings'!AP69</f>
        <v>22784.575000000004</v>
      </c>
      <c r="AQ11" s="25">
        <f>'P_L Workings'!AQ69</f>
        <v>19484.739999999998</v>
      </c>
      <c r="AR11" s="25">
        <f>'P_L Workings'!AR69</f>
        <v>28284.3</v>
      </c>
      <c r="AS11" s="25">
        <f>'P_L Workings'!AS69</f>
        <v>29227.109999999997</v>
      </c>
      <c r="AT11" s="25">
        <f>'P_L Workings'!AT69</f>
        <v>29227.109999999997</v>
      </c>
      <c r="AU11" s="25">
        <f>'P_L Workings'!AU69</f>
        <v>14142.15</v>
      </c>
      <c r="AV11" s="25">
        <f>'P_L Workings'!AV69</f>
        <v>14613.554999999998</v>
      </c>
      <c r="AW11" s="25">
        <f>'P_L Workings'!AW69</f>
        <v>13670.744999999999</v>
      </c>
      <c r="AX11" s="25">
        <f>'P_L Workings'!AX69</f>
        <v>19484.739999999998</v>
      </c>
      <c r="AY11" s="25">
        <f>'P_L Workings'!AY69</f>
        <v>8956.6949999999997</v>
      </c>
      <c r="AZ11" s="25">
        <f>'P_L Workings'!AZ69</f>
        <v>12727.934999999999</v>
      </c>
      <c r="BA11" s="25">
        <f>'P_L Workings'!BA69</f>
        <v>14613.554999999998</v>
      </c>
    </row>
    <row r="12" spans="1:53" x14ac:dyDescent="0.25">
      <c r="B12" s="34" t="s">
        <v>160</v>
      </c>
      <c r="C12" s="25">
        <f t="shared" ref="C12:AH12" si="2">C11*0.175</f>
        <v>0</v>
      </c>
      <c r="D12" s="25">
        <f t="shared" si="2"/>
        <v>0</v>
      </c>
      <c r="E12" s="25">
        <f t="shared" si="2"/>
        <v>404.25</v>
      </c>
      <c r="F12" s="25">
        <f t="shared" si="2"/>
        <v>1594.9202499999999</v>
      </c>
      <c r="G12" s="25">
        <f t="shared" si="2"/>
        <v>1704.9147499999997</v>
      </c>
      <c r="H12" s="25">
        <f t="shared" si="2"/>
        <v>4124.7937500000007</v>
      </c>
      <c r="I12" s="25">
        <f t="shared" si="2"/>
        <v>4262.2868750000007</v>
      </c>
      <c r="J12" s="25">
        <f t="shared" si="2"/>
        <v>4262.2868750000007</v>
      </c>
      <c r="K12" s="25">
        <f t="shared" si="2"/>
        <v>1649.9174999999996</v>
      </c>
      <c r="L12" s="25">
        <f t="shared" si="2"/>
        <v>1704.9147499999997</v>
      </c>
      <c r="M12" s="25">
        <f t="shared" si="2"/>
        <v>1594.9202499999999</v>
      </c>
      <c r="N12" s="25">
        <f t="shared" si="2"/>
        <v>2727.8635999999997</v>
      </c>
      <c r="O12" s="25">
        <f t="shared" si="2"/>
        <v>1044.9477499999998</v>
      </c>
      <c r="P12" s="25">
        <f t="shared" si="2"/>
        <v>1484.9257499999997</v>
      </c>
      <c r="Q12" s="25">
        <f t="shared" si="2"/>
        <v>1704.9147499999997</v>
      </c>
      <c r="R12" s="25">
        <f t="shared" si="2"/>
        <v>2392.3803749999997</v>
      </c>
      <c r="S12" s="25">
        <f t="shared" si="2"/>
        <v>2557.3721249999994</v>
      </c>
      <c r="T12" s="25">
        <f t="shared" si="2"/>
        <v>4949.7524999999996</v>
      </c>
      <c r="U12" s="25">
        <f t="shared" si="2"/>
        <v>5114.7442499999988</v>
      </c>
      <c r="V12" s="25">
        <f t="shared" si="2"/>
        <v>5114.7442499999988</v>
      </c>
      <c r="W12" s="25">
        <f t="shared" si="2"/>
        <v>2474.8762499999998</v>
      </c>
      <c r="X12" s="25">
        <f t="shared" si="2"/>
        <v>2557.3721249999994</v>
      </c>
      <c r="Y12" s="25">
        <f t="shared" si="2"/>
        <v>2392.3803749999997</v>
      </c>
      <c r="Z12" s="25">
        <f t="shared" si="2"/>
        <v>3409.8294999999994</v>
      </c>
      <c r="AA12" s="25">
        <f t="shared" si="2"/>
        <v>1484.9257499999997</v>
      </c>
      <c r="AB12" s="25">
        <f t="shared" si="2"/>
        <v>2309.8844999999997</v>
      </c>
      <c r="AC12" s="25">
        <f t="shared" si="2"/>
        <v>2557.3721249999994</v>
      </c>
      <c r="AD12" s="25">
        <f t="shared" si="2"/>
        <v>3189.8404999999998</v>
      </c>
      <c r="AE12" s="25">
        <f t="shared" si="2"/>
        <v>3409.8294999999994</v>
      </c>
      <c r="AF12" s="25">
        <f t="shared" si="2"/>
        <v>4949.7524999999996</v>
      </c>
      <c r="AG12" s="25">
        <f t="shared" si="2"/>
        <v>5114.7442499999988</v>
      </c>
      <c r="AH12" s="25">
        <f t="shared" si="2"/>
        <v>5114.7442499999988</v>
      </c>
      <c r="AI12" s="25">
        <f t="shared" ref="AI12:BA12" si="3">AI11*0.175</f>
        <v>2474.8762499999998</v>
      </c>
      <c r="AJ12" s="25">
        <f t="shared" si="3"/>
        <v>2557.3721249999994</v>
      </c>
      <c r="AK12" s="25">
        <f t="shared" si="3"/>
        <v>2392.3803749999997</v>
      </c>
      <c r="AL12" s="25">
        <f t="shared" si="3"/>
        <v>3409.8294999999994</v>
      </c>
      <c r="AM12" s="25">
        <f t="shared" si="3"/>
        <v>1567.4216249999999</v>
      </c>
      <c r="AN12" s="25">
        <f t="shared" si="3"/>
        <v>2227.3886249999996</v>
      </c>
      <c r="AO12" s="25">
        <f t="shared" si="3"/>
        <v>2557.3721249999994</v>
      </c>
      <c r="AP12" s="25">
        <f t="shared" si="3"/>
        <v>3987.3006250000003</v>
      </c>
      <c r="AQ12" s="25">
        <f t="shared" si="3"/>
        <v>3409.8294999999994</v>
      </c>
      <c r="AR12" s="25">
        <f t="shared" si="3"/>
        <v>4949.7524999999996</v>
      </c>
      <c r="AS12" s="25">
        <f t="shared" si="3"/>
        <v>5114.7442499999988</v>
      </c>
      <c r="AT12" s="25">
        <f t="shared" si="3"/>
        <v>5114.7442499999988</v>
      </c>
      <c r="AU12" s="25">
        <f t="shared" si="3"/>
        <v>2474.8762499999998</v>
      </c>
      <c r="AV12" s="25">
        <f t="shared" si="3"/>
        <v>2557.3721249999994</v>
      </c>
      <c r="AW12" s="25">
        <f t="shared" si="3"/>
        <v>2392.3803749999997</v>
      </c>
      <c r="AX12" s="25">
        <f t="shared" si="3"/>
        <v>3409.8294999999994</v>
      </c>
      <c r="AY12" s="25">
        <f t="shared" si="3"/>
        <v>1567.4216249999999</v>
      </c>
      <c r="AZ12" s="25">
        <f t="shared" si="3"/>
        <v>2227.3886249999996</v>
      </c>
      <c r="BA12" s="25">
        <f t="shared" si="3"/>
        <v>2557.3721249999994</v>
      </c>
    </row>
    <row r="13" spans="1:53" x14ac:dyDescent="0.25">
      <c r="B13" s="34" t="s">
        <v>48</v>
      </c>
      <c r="C13" s="25">
        <f>'P_L Workings'!C74</f>
        <v>0</v>
      </c>
      <c r="D13" s="25">
        <f>'P_L Workings'!D74</f>
        <v>0</v>
      </c>
      <c r="E13" s="25">
        <f>'P_L Workings'!E74</f>
        <v>2000</v>
      </c>
      <c r="F13" s="25">
        <f>'P_L Workings'!F74</f>
        <v>20300</v>
      </c>
      <c r="G13" s="25">
        <f>'P_L Workings'!G74</f>
        <v>21700</v>
      </c>
      <c r="H13" s="25">
        <f>'P_L Workings'!H74</f>
        <v>21000</v>
      </c>
      <c r="I13" s="25">
        <f>'P_L Workings'!I74</f>
        <v>21700</v>
      </c>
      <c r="J13" s="25">
        <f>'P_L Workings'!J74</f>
        <v>21700</v>
      </c>
      <c r="K13" s="25">
        <f>'P_L Workings'!K74</f>
        <v>21000</v>
      </c>
      <c r="L13" s="25">
        <f>'P_L Workings'!L74</f>
        <v>21700</v>
      </c>
      <c r="M13" s="25">
        <f>'P_L Workings'!M74</f>
        <v>20300</v>
      </c>
      <c r="N13" s="25">
        <f>'P_L Workings'!N74</f>
        <v>21700</v>
      </c>
      <c r="O13" s="25">
        <f>'P_L Workings'!O74</f>
        <v>13300</v>
      </c>
      <c r="P13" s="25">
        <f>'P_L Workings'!P74</f>
        <v>18900</v>
      </c>
      <c r="Q13" s="25">
        <f>'P_L Workings'!Q74</f>
        <v>21700</v>
      </c>
      <c r="R13" s="25">
        <f>'P_L Workings'!R74</f>
        <v>20300</v>
      </c>
      <c r="S13" s="25">
        <f>'P_L Workings'!S74</f>
        <v>21700</v>
      </c>
      <c r="T13" s="25">
        <f>'P_L Workings'!T74</f>
        <v>21000</v>
      </c>
      <c r="U13" s="25">
        <f>'P_L Workings'!U74</f>
        <v>21700</v>
      </c>
      <c r="V13" s="25">
        <f>'P_L Workings'!V74</f>
        <v>21700</v>
      </c>
      <c r="W13" s="25">
        <f>'P_L Workings'!W74</f>
        <v>21000</v>
      </c>
      <c r="X13" s="25">
        <f>'P_L Workings'!X74</f>
        <v>21700</v>
      </c>
      <c r="Y13" s="25">
        <f>'P_L Workings'!Y74</f>
        <v>20300</v>
      </c>
      <c r="Z13" s="25">
        <f>'P_L Workings'!Z74</f>
        <v>21700</v>
      </c>
      <c r="AA13" s="25">
        <f>'P_L Workings'!AA74</f>
        <v>12600</v>
      </c>
      <c r="AB13" s="25">
        <f>'P_L Workings'!AB74</f>
        <v>19600</v>
      </c>
      <c r="AC13" s="25">
        <f>'P_L Workings'!AC74</f>
        <v>21700</v>
      </c>
      <c r="AD13" s="25">
        <f>'P_L Workings'!AD74</f>
        <v>20300</v>
      </c>
      <c r="AE13" s="25">
        <f>'P_L Workings'!AE74</f>
        <v>21700</v>
      </c>
      <c r="AF13" s="25">
        <f>'P_L Workings'!AF74</f>
        <v>21000</v>
      </c>
      <c r="AG13" s="25">
        <f>'P_L Workings'!AG74</f>
        <v>21700</v>
      </c>
      <c r="AH13" s="25">
        <f>'P_L Workings'!AH74</f>
        <v>21700</v>
      </c>
      <c r="AI13" s="25">
        <f>'P_L Workings'!AI74</f>
        <v>21000</v>
      </c>
      <c r="AJ13" s="25">
        <f>'P_L Workings'!AJ74</f>
        <v>21700</v>
      </c>
      <c r="AK13" s="25">
        <f>'P_L Workings'!AK74</f>
        <v>20300</v>
      </c>
      <c r="AL13" s="25">
        <f>'P_L Workings'!AL74</f>
        <v>21700</v>
      </c>
      <c r="AM13" s="25">
        <f>'P_L Workings'!AM74</f>
        <v>13300</v>
      </c>
      <c r="AN13" s="25">
        <f>'P_L Workings'!AN74</f>
        <v>18900</v>
      </c>
      <c r="AO13" s="25">
        <f>'P_L Workings'!AO74</f>
        <v>21700</v>
      </c>
      <c r="AP13" s="25">
        <f>'P_L Workings'!AP74</f>
        <v>20300</v>
      </c>
      <c r="AQ13" s="25">
        <f>'P_L Workings'!AQ74</f>
        <v>21700</v>
      </c>
      <c r="AR13" s="25">
        <f>'P_L Workings'!AR74</f>
        <v>21000</v>
      </c>
      <c r="AS13" s="25">
        <f>'P_L Workings'!AS74</f>
        <v>21700</v>
      </c>
      <c r="AT13" s="25">
        <f>'P_L Workings'!AT74</f>
        <v>21700</v>
      </c>
      <c r="AU13" s="25">
        <f>'P_L Workings'!AU74</f>
        <v>21000</v>
      </c>
      <c r="AV13" s="25">
        <f>'P_L Workings'!AV74</f>
        <v>21700</v>
      </c>
      <c r="AW13" s="25">
        <f>'P_L Workings'!AW74</f>
        <v>20300</v>
      </c>
      <c r="AX13" s="25">
        <f>'P_L Workings'!AX74</f>
        <v>21700</v>
      </c>
      <c r="AY13" s="25">
        <f>'P_L Workings'!AY74</f>
        <v>13300</v>
      </c>
      <c r="AZ13" s="25">
        <f>'P_L Workings'!AZ74</f>
        <v>18900</v>
      </c>
      <c r="BA13" s="25">
        <f>'P_L Workings'!BA74</f>
        <v>21700</v>
      </c>
    </row>
    <row r="14" spans="1:53" x14ac:dyDescent="0.25">
      <c r="B14" s="34" t="s">
        <v>196</v>
      </c>
      <c r="F14" s="25">
        <f t="shared" ref="F14:BA14" si="4">F13*0.175</f>
        <v>3552.5</v>
      </c>
      <c r="G14" s="25">
        <f t="shared" si="4"/>
        <v>3797.4999999999995</v>
      </c>
      <c r="H14" s="25">
        <f t="shared" si="4"/>
        <v>3674.9999999999995</v>
      </c>
      <c r="I14" s="25">
        <f t="shared" si="4"/>
        <v>3797.4999999999995</v>
      </c>
      <c r="J14" s="25">
        <f t="shared" si="4"/>
        <v>3797.4999999999995</v>
      </c>
      <c r="K14" s="25">
        <f t="shared" si="4"/>
        <v>3674.9999999999995</v>
      </c>
      <c r="L14" s="25">
        <f t="shared" si="4"/>
        <v>3797.4999999999995</v>
      </c>
      <c r="M14" s="25">
        <f t="shared" si="4"/>
        <v>3552.5</v>
      </c>
      <c r="N14" s="25">
        <f t="shared" si="4"/>
        <v>3797.4999999999995</v>
      </c>
      <c r="O14" s="25">
        <f t="shared" si="4"/>
        <v>2327.5</v>
      </c>
      <c r="P14" s="25">
        <f t="shared" si="4"/>
        <v>3307.5</v>
      </c>
      <c r="Q14" s="25">
        <f t="shared" si="4"/>
        <v>3797.4999999999995</v>
      </c>
      <c r="R14" s="25">
        <f t="shared" si="4"/>
        <v>3552.5</v>
      </c>
      <c r="S14" s="25">
        <f t="shared" si="4"/>
        <v>3797.4999999999995</v>
      </c>
      <c r="T14" s="25">
        <f t="shared" si="4"/>
        <v>3674.9999999999995</v>
      </c>
      <c r="U14" s="25">
        <f t="shared" si="4"/>
        <v>3797.4999999999995</v>
      </c>
      <c r="V14" s="25">
        <f t="shared" si="4"/>
        <v>3797.4999999999995</v>
      </c>
      <c r="W14" s="25">
        <f t="shared" si="4"/>
        <v>3674.9999999999995</v>
      </c>
      <c r="X14" s="25">
        <f t="shared" si="4"/>
        <v>3797.4999999999995</v>
      </c>
      <c r="Y14" s="25">
        <f t="shared" si="4"/>
        <v>3552.5</v>
      </c>
      <c r="Z14" s="25">
        <f t="shared" si="4"/>
        <v>3797.4999999999995</v>
      </c>
      <c r="AA14" s="25">
        <f t="shared" si="4"/>
        <v>2205</v>
      </c>
      <c r="AB14" s="25">
        <f t="shared" si="4"/>
        <v>3430</v>
      </c>
      <c r="AC14" s="25">
        <f t="shared" si="4"/>
        <v>3797.4999999999995</v>
      </c>
      <c r="AD14" s="25">
        <f t="shared" si="4"/>
        <v>3552.5</v>
      </c>
      <c r="AE14" s="25">
        <f t="shared" si="4"/>
        <v>3797.4999999999995</v>
      </c>
      <c r="AF14" s="25">
        <f t="shared" si="4"/>
        <v>3674.9999999999995</v>
      </c>
      <c r="AG14" s="25">
        <f t="shared" si="4"/>
        <v>3797.4999999999995</v>
      </c>
      <c r="AH14" s="25">
        <f t="shared" si="4"/>
        <v>3797.4999999999995</v>
      </c>
      <c r="AI14" s="25">
        <f t="shared" si="4"/>
        <v>3674.9999999999995</v>
      </c>
      <c r="AJ14" s="25">
        <f t="shared" si="4"/>
        <v>3797.4999999999995</v>
      </c>
      <c r="AK14" s="25">
        <f t="shared" si="4"/>
        <v>3552.5</v>
      </c>
      <c r="AL14" s="25">
        <f t="shared" si="4"/>
        <v>3797.4999999999995</v>
      </c>
      <c r="AM14" s="25">
        <f t="shared" si="4"/>
        <v>2327.5</v>
      </c>
      <c r="AN14" s="25">
        <f t="shared" si="4"/>
        <v>3307.5</v>
      </c>
      <c r="AO14" s="25">
        <f t="shared" si="4"/>
        <v>3797.4999999999995</v>
      </c>
      <c r="AP14" s="25">
        <f t="shared" si="4"/>
        <v>3552.5</v>
      </c>
      <c r="AQ14" s="25">
        <f t="shared" si="4"/>
        <v>3797.4999999999995</v>
      </c>
      <c r="AR14" s="25">
        <f t="shared" si="4"/>
        <v>3674.9999999999995</v>
      </c>
      <c r="AS14" s="25">
        <f t="shared" si="4"/>
        <v>3797.4999999999995</v>
      </c>
      <c r="AT14" s="25">
        <f t="shared" si="4"/>
        <v>3797.4999999999995</v>
      </c>
      <c r="AU14" s="25">
        <f t="shared" si="4"/>
        <v>3674.9999999999995</v>
      </c>
      <c r="AV14" s="25">
        <f t="shared" si="4"/>
        <v>3797.4999999999995</v>
      </c>
      <c r="AW14" s="25">
        <f t="shared" si="4"/>
        <v>3552.5</v>
      </c>
      <c r="AX14" s="25">
        <f t="shared" si="4"/>
        <v>3797.4999999999995</v>
      </c>
      <c r="AY14" s="25">
        <f t="shared" si="4"/>
        <v>2327.5</v>
      </c>
      <c r="AZ14" s="25">
        <f t="shared" si="4"/>
        <v>3307.5</v>
      </c>
      <c r="BA14" s="25">
        <f t="shared" si="4"/>
        <v>3797.4999999999995</v>
      </c>
    </row>
    <row r="15" spans="1:53" x14ac:dyDescent="0.25">
      <c r="B15" s="34" t="s">
        <v>161</v>
      </c>
    </row>
    <row r="16" spans="1:53" x14ac:dyDescent="0.25">
      <c r="B16" s="34" t="s">
        <v>162</v>
      </c>
      <c r="E16" s="25">
        <f>'Loan _Int_'!D26+'Loan _Int_ _2_'!D26</f>
        <v>2800000</v>
      </c>
    </row>
    <row r="17" spans="1:53" s="2" customFormat="1" ht="13" x14ac:dyDescent="0.3">
      <c r="C17" s="35">
        <f t="shared" ref="C17:AH17" si="5">SUM(C8:C16)</f>
        <v>0</v>
      </c>
      <c r="D17" s="35">
        <f t="shared" si="5"/>
        <v>0</v>
      </c>
      <c r="E17" s="35">
        <f t="shared" si="5"/>
        <v>3291289.25</v>
      </c>
      <c r="F17" s="35">
        <f t="shared" si="5"/>
        <v>1668133.7877500001</v>
      </c>
      <c r="G17" s="35">
        <f t="shared" si="5"/>
        <v>1783177.49725</v>
      </c>
      <c r="H17" s="35">
        <f t="shared" si="5"/>
        <v>1842981.91875</v>
      </c>
      <c r="I17" s="35">
        <f t="shared" si="5"/>
        <v>2008480.8743750001</v>
      </c>
      <c r="J17" s="35">
        <f t="shared" si="5"/>
        <v>2008480.8743750001</v>
      </c>
      <c r="K17" s="35">
        <f t="shared" si="5"/>
        <v>1725655.6425000001</v>
      </c>
      <c r="L17" s="35">
        <f t="shared" si="5"/>
        <v>1783177.49725</v>
      </c>
      <c r="M17" s="35">
        <f t="shared" si="5"/>
        <v>1668133.7877500001</v>
      </c>
      <c r="N17" s="35">
        <f t="shared" si="5"/>
        <v>1821265.7355999998</v>
      </c>
      <c r="O17" s="35">
        <f t="shared" si="5"/>
        <v>1092915.24025</v>
      </c>
      <c r="P17" s="35">
        <f t="shared" si="5"/>
        <v>1553090.07825</v>
      </c>
      <c r="Q17" s="35">
        <f t="shared" si="5"/>
        <v>1783177.49725</v>
      </c>
      <c r="R17" s="35">
        <f t="shared" si="5"/>
        <v>1768166.40225</v>
      </c>
      <c r="S17" s="35">
        <f t="shared" si="5"/>
        <v>1890108.9127500001</v>
      </c>
      <c r="T17" s="35">
        <f t="shared" si="5"/>
        <v>1959052.59</v>
      </c>
      <c r="U17" s="35">
        <f t="shared" si="5"/>
        <v>2149233.8130000001</v>
      </c>
      <c r="V17" s="35">
        <f t="shared" si="5"/>
        <v>2149233.8130000001</v>
      </c>
      <c r="W17" s="35">
        <f t="shared" si="5"/>
        <v>1829137.6575</v>
      </c>
      <c r="X17" s="35">
        <f t="shared" si="5"/>
        <v>1890108.9127500001</v>
      </c>
      <c r="Y17" s="35">
        <f t="shared" si="5"/>
        <v>1768166.40225</v>
      </c>
      <c r="Z17" s="35">
        <f t="shared" si="5"/>
        <v>1924450.767</v>
      </c>
      <c r="AA17" s="35">
        <f t="shared" si="5"/>
        <v>1097482.5945000001</v>
      </c>
      <c r="AB17" s="35">
        <f t="shared" si="5"/>
        <v>1707195.1469999999</v>
      </c>
      <c r="AC17" s="35">
        <f t="shared" si="5"/>
        <v>1890108.9127500001</v>
      </c>
      <c r="AD17" s="35">
        <f t="shared" si="5"/>
        <v>1898132.2004999998</v>
      </c>
      <c r="AE17" s="35">
        <f t="shared" si="5"/>
        <v>2029037.8695</v>
      </c>
      <c r="AF17" s="35">
        <f t="shared" si="5"/>
        <v>2065301.3774999999</v>
      </c>
      <c r="AG17" s="35">
        <f t="shared" si="5"/>
        <v>2259024.2267499999</v>
      </c>
      <c r="AH17" s="35">
        <f t="shared" si="5"/>
        <v>2259024.2267499999</v>
      </c>
      <c r="AI17" s="35">
        <f t="shared" ref="AI17:BA17" si="6">SUM(AI8:AI16)</f>
        <v>1927833.25125</v>
      </c>
      <c r="AJ17" s="35">
        <f t="shared" si="6"/>
        <v>1992094.359625</v>
      </c>
      <c r="AK17" s="35">
        <f t="shared" si="6"/>
        <v>1863572.1428750001</v>
      </c>
      <c r="AL17" s="35">
        <f t="shared" si="6"/>
        <v>2029037.8695</v>
      </c>
      <c r="AM17" s="35">
        <f t="shared" si="6"/>
        <v>1220961.0591249999</v>
      </c>
      <c r="AN17" s="35">
        <f t="shared" si="6"/>
        <v>1735049.926125</v>
      </c>
      <c r="AO17" s="35">
        <f t="shared" si="6"/>
        <v>1992094.359625</v>
      </c>
      <c r="AP17" s="35">
        <f t="shared" si="6"/>
        <v>1999138.5081249997</v>
      </c>
      <c r="AQ17" s="35">
        <f t="shared" si="6"/>
        <v>2100066.6195</v>
      </c>
      <c r="AR17" s="35">
        <f t="shared" si="6"/>
        <v>2134038.8774999999</v>
      </c>
      <c r="AS17" s="35">
        <f t="shared" si="6"/>
        <v>2330052.9767499999</v>
      </c>
      <c r="AT17" s="35">
        <f t="shared" si="6"/>
        <v>2330052.9767499999</v>
      </c>
      <c r="AU17" s="35">
        <f t="shared" si="6"/>
        <v>2004123.9449999998</v>
      </c>
      <c r="AV17" s="35">
        <f t="shared" si="6"/>
        <v>2070928.0765</v>
      </c>
      <c r="AW17" s="35">
        <f t="shared" si="6"/>
        <v>1930018.3928750001</v>
      </c>
      <c r="AX17" s="35">
        <f t="shared" si="6"/>
        <v>2100066.6195</v>
      </c>
      <c r="AY17" s="35">
        <f t="shared" si="6"/>
        <v>1264494.8091250001</v>
      </c>
      <c r="AZ17" s="35">
        <f t="shared" si="6"/>
        <v>1796913.676125</v>
      </c>
      <c r="BA17" s="35">
        <f t="shared" si="6"/>
        <v>2063123.109625</v>
      </c>
    </row>
    <row r="19" spans="1:53" ht="15.5" x14ac:dyDescent="0.35">
      <c r="A19" s="26" t="s">
        <v>163</v>
      </c>
    </row>
    <row r="20" spans="1:53" ht="12.75" customHeight="1" x14ac:dyDescent="0.35">
      <c r="A20" s="26"/>
    </row>
    <row r="21" spans="1:53" ht="12.75" customHeight="1" x14ac:dyDescent="0.35">
      <c r="A21" s="26"/>
      <c r="B21" s="1" t="s">
        <v>164</v>
      </c>
    </row>
    <row r="22" spans="1:53" s="13" customFormat="1" ht="12.75" customHeight="1" x14ac:dyDescent="0.25">
      <c r="B22" s="61" t="s">
        <v>21</v>
      </c>
      <c r="C22" s="33">
        <f>'P_L Workings'!C84</f>
        <v>0</v>
      </c>
      <c r="D22" s="33">
        <f>'P_L Workings'!D84</f>
        <v>0</v>
      </c>
      <c r="E22" s="33">
        <f>'P_L Workings'!E84</f>
        <v>0</v>
      </c>
      <c r="F22" s="33">
        <f>'P_L Workings'!F84</f>
        <v>0</v>
      </c>
      <c r="G22" s="33">
        <f>'P_L Workings'!G84</f>
        <v>0</v>
      </c>
      <c r="H22" s="33">
        <f>'P_L Workings'!H84</f>
        <v>0</v>
      </c>
      <c r="I22" s="33">
        <f>'P_L Workings'!I84</f>
        <v>0</v>
      </c>
      <c r="J22" s="33">
        <f>'P_L Workings'!J84</f>
        <v>0</v>
      </c>
      <c r="K22" s="33">
        <f>'P_L Workings'!K84</f>
        <v>0</v>
      </c>
      <c r="L22" s="33">
        <f>'P_L Workings'!L84</f>
        <v>0</v>
      </c>
      <c r="M22" s="33">
        <f>'P_L Workings'!M84</f>
        <v>0</v>
      </c>
      <c r="N22" s="33">
        <f>'P_L Workings'!N84</f>
        <v>0</v>
      </c>
      <c r="O22" s="33">
        <f>'P_L Workings'!O84</f>
        <v>0</v>
      </c>
      <c r="P22" s="33">
        <f>'P_L Workings'!P84</f>
        <v>0</v>
      </c>
      <c r="Q22" s="33">
        <f>'P_L Workings'!Q84</f>
        <v>0</v>
      </c>
      <c r="R22" s="33">
        <f>'P_L Workings'!R84</f>
        <v>0</v>
      </c>
      <c r="S22" s="33">
        <f>'P_L Workings'!S84</f>
        <v>0</v>
      </c>
      <c r="T22" s="33">
        <f>'P_L Workings'!T84</f>
        <v>0</v>
      </c>
      <c r="U22" s="33">
        <f>'P_L Workings'!U84</f>
        <v>0</v>
      </c>
      <c r="V22" s="33">
        <f>'P_L Workings'!V84</f>
        <v>0</v>
      </c>
      <c r="W22" s="33">
        <f>'P_L Workings'!W84</f>
        <v>0</v>
      </c>
      <c r="X22" s="33">
        <f>'P_L Workings'!X84</f>
        <v>0</v>
      </c>
      <c r="Y22" s="33">
        <f>'P_L Workings'!Y84</f>
        <v>0</v>
      </c>
      <c r="Z22" s="33">
        <f>'P_L Workings'!Z84</f>
        <v>0</v>
      </c>
      <c r="AA22" s="33">
        <f>'P_L Workings'!AA84</f>
        <v>0</v>
      </c>
      <c r="AB22" s="33">
        <f>'P_L Workings'!AB84</f>
        <v>0</v>
      </c>
      <c r="AC22" s="33">
        <f>'P_L Workings'!AC84</f>
        <v>0</v>
      </c>
      <c r="AD22" s="33">
        <f>'P_L Workings'!AD84</f>
        <v>0</v>
      </c>
      <c r="AE22" s="33">
        <f>'P_L Workings'!AE84</f>
        <v>0</v>
      </c>
      <c r="AF22" s="33">
        <f>'P_L Workings'!AF84</f>
        <v>0</v>
      </c>
      <c r="AG22" s="33">
        <f>'P_L Workings'!AG84</f>
        <v>0</v>
      </c>
      <c r="AH22" s="33">
        <f>'P_L Workings'!AH84</f>
        <v>0</v>
      </c>
      <c r="AI22" s="33">
        <f>'P_L Workings'!AI84</f>
        <v>0</v>
      </c>
      <c r="AJ22" s="33">
        <f>'P_L Workings'!AJ84</f>
        <v>0</v>
      </c>
      <c r="AK22" s="33">
        <f>'P_L Workings'!AK84</f>
        <v>0</v>
      </c>
      <c r="AL22" s="33">
        <f>'P_L Workings'!AL84</f>
        <v>0</v>
      </c>
      <c r="AM22" s="33">
        <f>'P_L Workings'!AM84</f>
        <v>0</v>
      </c>
      <c r="AN22" s="33">
        <f>'P_L Workings'!AN84</f>
        <v>0</v>
      </c>
      <c r="AO22" s="33">
        <f>'P_L Workings'!AO84</f>
        <v>0</v>
      </c>
      <c r="AP22" s="33">
        <f>'P_L Workings'!AP84</f>
        <v>0</v>
      </c>
      <c r="AQ22" s="33">
        <f>'P_L Workings'!AQ84</f>
        <v>0</v>
      </c>
      <c r="AR22" s="33">
        <f>'P_L Workings'!AR84</f>
        <v>0</v>
      </c>
      <c r="AS22" s="33">
        <f>'P_L Workings'!AS84</f>
        <v>0</v>
      </c>
      <c r="AT22" s="33">
        <f>'P_L Workings'!AT84</f>
        <v>0</v>
      </c>
      <c r="AU22" s="33">
        <f>'P_L Workings'!AU84</f>
        <v>0</v>
      </c>
      <c r="AV22" s="33">
        <f>'P_L Workings'!AV84</f>
        <v>0</v>
      </c>
      <c r="AW22" s="33">
        <f>'P_L Workings'!AW84</f>
        <v>0</v>
      </c>
      <c r="AX22" s="33">
        <f>'P_L Workings'!AX84</f>
        <v>0</v>
      </c>
      <c r="AY22" s="33">
        <f>'P_L Workings'!AY84</f>
        <v>0</v>
      </c>
      <c r="AZ22" s="33">
        <f>'P_L Workings'!AZ84</f>
        <v>0</v>
      </c>
      <c r="BA22" s="33">
        <f>'P_L Workings'!BA84</f>
        <v>0</v>
      </c>
    </row>
    <row r="23" spans="1:53" s="13" customFormat="1" ht="12.75" customHeight="1" x14ac:dyDescent="0.25">
      <c r="B23" s="61" t="s">
        <v>165</v>
      </c>
      <c r="C23" s="62">
        <f t="shared" ref="C23:AH23" si="7">C22*0.175</f>
        <v>0</v>
      </c>
      <c r="D23" s="62">
        <f t="shared" si="7"/>
        <v>0</v>
      </c>
      <c r="E23" s="62">
        <f t="shared" si="7"/>
        <v>0</v>
      </c>
      <c r="F23" s="62">
        <f t="shared" si="7"/>
        <v>0</v>
      </c>
      <c r="G23" s="62">
        <f t="shared" si="7"/>
        <v>0</v>
      </c>
      <c r="H23" s="62">
        <f t="shared" si="7"/>
        <v>0</v>
      </c>
      <c r="I23" s="62">
        <f t="shared" si="7"/>
        <v>0</v>
      </c>
      <c r="J23" s="62">
        <f t="shared" si="7"/>
        <v>0</v>
      </c>
      <c r="K23" s="62">
        <f t="shared" si="7"/>
        <v>0</v>
      </c>
      <c r="L23" s="62">
        <f t="shared" si="7"/>
        <v>0</v>
      </c>
      <c r="M23" s="62">
        <f t="shared" si="7"/>
        <v>0</v>
      </c>
      <c r="N23" s="62">
        <f t="shared" si="7"/>
        <v>0</v>
      </c>
      <c r="O23" s="62">
        <f t="shared" si="7"/>
        <v>0</v>
      </c>
      <c r="P23" s="62">
        <f t="shared" si="7"/>
        <v>0</v>
      </c>
      <c r="Q23" s="62">
        <f t="shared" si="7"/>
        <v>0</v>
      </c>
      <c r="R23" s="62">
        <f t="shared" si="7"/>
        <v>0</v>
      </c>
      <c r="S23" s="62">
        <f t="shared" si="7"/>
        <v>0</v>
      </c>
      <c r="T23" s="62">
        <f t="shared" si="7"/>
        <v>0</v>
      </c>
      <c r="U23" s="62">
        <f t="shared" si="7"/>
        <v>0</v>
      </c>
      <c r="V23" s="62">
        <f t="shared" si="7"/>
        <v>0</v>
      </c>
      <c r="W23" s="62">
        <f t="shared" si="7"/>
        <v>0</v>
      </c>
      <c r="X23" s="62">
        <f t="shared" si="7"/>
        <v>0</v>
      </c>
      <c r="Y23" s="62">
        <f t="shared" si="7"/>
        <v>0</v>
      </c>
      <c r="Z23" s="62">
        <f t="shared" si="7"/>
        <v>0</v>
      </c>
      <c r="AA23" s="62">
        <f t="shared" si="7"/>
        <v>0</v>
      </c>
      <c r="AB23" s="62">
        <f t="shared" si="7"/>
        <v>0</v>
      </c>
      <c r="AC23" s="62">
        <f t="shared" si="7"/>
        <v>0</v>
      </c>
      <c r="AD23" s="62">
        <f t="shared" si="7"/>
        <v>0</v>
      </c>
      <c r="AE23" s="62">
        <f t="shared" si="7"/>
        <v>0</v>
      </c>
      <c r="AF23" s="62">
        <f t="shared" si="7"/>
        <v>0</v>
      </c>
      <c r="AG23" s="62">
        <f t="shared" si="7"/>
        <v>0</v>
      </c>
      <c r="AH23" s="62">
        <f t="shared" si="7"/>
        <v>0</v>
      </c>
      <c r="AI23" s="62">
        <f t="shared" ref="AI23:BA23" si="8">AI22*0.175</f>
        <v>0</v>
      </c>
      <c r="AJ23" s="62">
        <f t="shared" si="8"/>
        <v>0</v>
      </c>
      <c r="AK23" s="62">
        <f t="shared" si="8"/>
        <v>0</v>
      </c>
      <c r="AL23" s="62">
        <f t="shared" si="8"/>
        <v>0</v>
      </c>
      <c r="AM23" s="62">
        <f t="shared" si="8"/>
        <v>0</v>
      </c>
      <c r="AN23" s="62">
        <f t="shared" si="8"/>
        <v>0</v>
      </c>
      <c r="AO23" s="62">
        <f t="shared" si="8"/>
        <v>0</v>
      </c>
      <c r="AP23" s="62">
        <f t="shared" si="8"/>
        <v>0</v>
      </c>
      <c r="AQ23" s="62">
        <f t="shared" si="8"/>
        <v>0</v>
      </c>
      <c r="AR23" s="62">
        <f t="shared" si="8"/>
        <v>0</v>
      </c>
      <c r="AS23" s="62">
        <f t="shared" si="8"/>
        <v>0</v>
      </c>
      <c r="AT23" s="62">
        <f t="shared" si="8"/>
        <v>0</v>
      </c>
      <c r="AU23" s="62">
        <f t="shared" si="8"/>
        <v>0</v>
      </c>
      <c r="AV23" s="62">
        <f t="shared" si="8"/>
        <v>0</v>
      </c>
      <c r="AW23" s="62">
        <f t="shared" si="8"/>
        <v>0</v>
      </c>
      <c r="AX23" s="62">
        <f t="shared" si="8"/>
        <v>0</v>
      </c>
      <c r="AY23" s="62">
        <f t="shared" si="8"/>
        <v>0</v>
      </c>
      <c r="AZ23" s="62">
        <f t="shared" si="8"/>
        <v>0</v>
      </c>
      <c r="BA23" s="62">
        <f t="shared" si="8"/>
        <v>0</v>
      </c>
    </row>
    <row r="24" spans="1:53" ht="12.75" customHeight="1" x14ac:dyDescent="0.25">
      <c r="B24" s="63" t="s">
        <v>107</v>
      </c>
      <c r="C24" s="45">
        <f>'P_L Workings'!C91</f>
        <v>0</v>
      </c>
      <c r="D24" s="45">
        <f>'P_L Workings'!D91</f>
        <v>0</v>
      </c>
      <c r="E24" s="45">
        <f>'P_L Workings'!E91</f>
        <v>10357.142857142859</v>
      </c>
      <c r="F24" s="45">
        <f>'P_L Workings'!F91</f>
        <v>20714.285714285717</v>
      </c>
      <c r="G24" s="45">
        <f>'P_L Workings'!G91</f>
        <v>22142.857142857145</v>
      </c>
      <c r="H24" s="45">
        <f>'P_L Workings'!H91</f>
        <v>21428.571428571431</v>
      </c>
      <c r="I24" s="45">
        <f>'P_L Workings'!I91</f>
        <v>22142.857142857145</v>
      </c>
      <c r="J24" s="45">
        <f>'P_L Workings'!J91</f>
        <v>22142.857142857145</v>
      </c>
      <c r="K24" s="45">
        <f>'P_L Workings'!K91</f>
        <v>21428.571428571431</v>
      </c>
      <c r="L24" s="45">
        <f>'P_L Workings'!L91</f>
        <v>22142.857142857145</v>
      </c>
      <c r="M24" s="45">
        <f>'P_L Workings'!M91</f>
        <v>20714.285714285717</v>
      </c>
      <c r="N24" s="45">
        <f>'P_L Workings'!N91</f>
        <v>22142.857142857145</v>
      </c>
      <c r="O24" s="45">
        <f>'P_L Workings'!O91</f>
        <v>13571.428571428572</v>
      </c>
      <c r="P24" s="45">
        <f>'P_L Workings'!P91</f>
        <v>19285.714285714286</v>
      </c>
      <c r="Q24" s="45">
        <f>'P_L Workings'!Q91</f>
        <v>22142.857142857145</v>
      </c>
      <c r="R24" s="45">
        <f>'P_L Workings'!R91</f>
        <v>20714.285714285717</v>
      </c>
      <c r="S24" s="45">
        <f>'P_L Workings'!S91</f>
        <v>22142.857142857145</v>
      </c>
      <c r="T24" s="45">
        <f>'P_L Workings'!T91</f>
        <v>21428.571428571431</v>
      </c>
      <c r="U24" s="45">
        <f>'P_L Workings'!U91</f>
        <v>22142.857142857145</v>
      </c>
      <c r="V24" s="45">
        <f>'P_L Workings'!V91</f>
        <v>22142.857142857145</v>
      </c>
      <c r="W24" s="45">
        <f>'P_L Workings'!W91</f>
        <v>21428.571428571431</v>
      </c>
      <c r="X24" s="45">
        <f>'P_L Workings'!X91</f>
        <v>22142.857142857145</v>
      </c>
      <c r="Y24" s="45">
        <f>'P_L Workings'!Y91</f>
        <v>20714.285714285717</v>
      </c>
      <c r="Z24" s="45">
        <f>'P_L Workings'!Z91</f>
        <v>22142.857142857145</v>
      </c>
      <c r="AA24" s="45">
        <f>'P_L Workings'!AA91</f>
        <v>12857.142857142859</v>
      </c>
      <c r="AB24" s="45">
        <f>'P_L Workings'!AB91</f>
        <v>20000</v>
      </c>
      <c r="AC24" s="45">
        <f>'P_L Workings'!AC91</f>
        <v>22142.857142857145</v>
      </c>
      <c r="AD24" s="45">
        <f>'P_L Workings'!AD91</f>
        <v>20714.285714285717</v>
      </c>
      <c r="AE24" s="45">
        <f>'P_L Workings'!AE91</f>
        <v>22142.857142857145</v>
      </c>
      <c r="AF24" s="45">
        <f>'P_L Workings'!AF91</f>
        <v>21428.571428571431</v>
      </c>
      <c r="AG24" s="45">
        <f>'P_L Workings'!AG91</f>
        <v>22142.857142857145</v>
      </c>
      <c r="AH24" s="45">
        <f>'P_L Workings'!AH91</f>
        <v>22142.857142857145</v>
      </c>
      <c r="AI24" s="45">
        <f>'P_L Workings'!AI91</f>
        <v>21428.571428571431</v>
      </c>
      <c r="AJ24" s="45">
        <f>'P_L Workings'!AJ91</f>
        <v>22142.857142857145</v>
      </c>
      <c r="AK24" s="45">
        <f>'P_L Workings'!AK91</f>
        <v>20714.285714285717</v>
      </c>
      <c r="AL24" s="45">
        <f>'P_L Workings'!AL91</f>
        <v>22142.857142857145</v>
      </c>
      <c r="AM24" s="45">
        <f>'P_L Workings'!AM91</f>
        <v>13571.428571428572</v>
      </c>
      <c r="AN24" s="45">
        <f>'P_L Workings'!AN91</f>
        <v>19285.714285714286</v>
      </c>
      <c r="AO24" s="45">
        <f>'P_L Workings'!AO91</f>
        <v>22142.857142857145</v>
      </c>
      <c r="AP24" s="45">
        <f>'P_L Workings'!AP91</f>
        <v>20714.285714285717</v>
      </c>
      <c r="AQ24" s="45">
        <f>'P_L Workings'!AQ91</f>
        <v>22142.857142857145</v>
      </c>
      <c r="AR24" s="45">
        <f>'P_L Workings'!AR91</f>
        <v>21428.571428571431</v>
      </c>
      <c r="AS24" s="45">
        <f>'P_L Workings'!AS91</f>
        <v>22142.857142857145</v>
      </c>
      <c r="AT24" s="45">
        <f>'P_L Workings'!AT91</f>
        <v>22142.857142857145</v>
      </c>
      <c r="AU24" s="45">
        <f>'P_L Workings'!AU91</f>
        <v>21428.571428571431</v>
      </c>
      <c r="AV24" s="45">
        <f>'P_L Workings'!AV91</f>
        <v>22142.857142857145</v>
      </c>
      <c r="AW24" s="45">
        <f>'P_L Workings'!AW91</f>
        <v>20714.285714285717</v>
      </c>
      <c r="AX24" s="45">
        <f>'P_L Workings'!AX91</f>
        <v>22142.857142857145</v>
      </c>
      <c r="AY24" s="45">
        <f>'P_L Workings'!AY91</f>
        <v>13571.428571428572</v>
      </c>
      <c r="AZ24" s="45">
        <f>'P_L Workings'!AZ91</f>
        <v>19285.714285714286</v>
      </c>
      <c r="BA24" s="45">
        <f>'P_L Workings'!BA91</f>
        <v>22142.857142857145</v>
      </c>
    </row>
    <row r="25" spans="1:53" ht="12.75" customHeight="1" x14ac:dyDescent="0.25">
      <c r="B25" s="61" t="s">
        <v>166</v>
      </c>
      <c r="C25" s="45">
        <f t="shared" ref="C25:AH25" si="9">C24*0.175*0.5</f>
        <v>0</v>
      </c>
      <c r="D25" s="45">
        <f t="shared" si="9"/>
        <v>0</v>
      </c>
      <c r="E25" s="45">
        <f t="shared" si="9"/>
        <v>906.25000000000011</v>
      </c>
      <c r="F25" s="45">
        <f t="shared" si="9"/>
        <v>1812.5000000000002</v>
      </c>
      <c r="G25" s="45">
        <f t="shared" si="9"/>
        <v>1937.5</v>
      </c>
      <c r="H25" s="45">
        <f t="shared" si="9"/>
        <v>1875</v>
      </c>
      <c r="I25" s="45">
        <f t="shared" si="9"/>
        <v>1937.5</v>
      </c>
      <c r="J25" s="45">
        <f t="shared" si="9"/>
        <v>1937.5</v>
      </c>
      <c r="K25" s="45">
        <f t="shared" si="9"/>
        <v>1875</v>
      </c>
      <c r="L25" s="45">
        <f t="shared" si="9"/>
        <v>1937.5</v>
      </c>
      <c r="M25" s="45">
        <f t="shared" si="9"/>
        <v>1812.5000000000002</v>
      </c>
      <c r="N25" s="45">
        <f t="shared" si="9"/>
        <v>1937.5</v>
      </c>
      <c r="O25" s="45">
        <f t="shared" si="9"/>
        <v>1187.5</v>
      </c>
      <c r="P25" s="45">
        <f t="shared" si="9"/>
        <v>1687.5</v>
      </c>
      <c r="Q25" s="45">
        <f t="shared" si="9"/>
        <v>1937.5</v>
      </c>
      <c r="R25" s="45">
        <f t="shared" si="9"/>
        <v>1812.5000000000002</v>
      </c>
      <c r="S25" s="45">
        <f t="shared" si="9"/>
        <v>1937.5</v>
      </c>
      <c r="T25" s="45">
        <f t="shared" si="9"/>
        <v>1875</v>
      </c>
      <c r="U25" s="45">
        <f t="shared" si="9"/>
        <v>1937.5</v>
      </c>
      <c r="V25" s="45">
        <f t="shared" si="9"/>
        <v>1937.5</v>
      </c>
      <c r="W25" s="45">
        <f t="shared" si="9"/>
        <v>1875</v>
      </c>
      <c r="X25" s="45">
        <f t="shared" si="9"/>
        <v>1937.5</v>
      </c>
      <c r="Y25" s="45">
        <f t="shared" si="9"/>
        <v>1812.5000000000002</v>
      </c>
      <c r="Z25" s="45">
        <f t="shared" si="9"/>
        <v>1937.5</v>
      </c>
      <c r="AA25" s="45">
        <f t="shared" si="9"/>
        <v>1125</v>
      </c>
      <c r="AB25" s="45">
        <f t="shared" si="9"/>
        <v>1750</v>
      </c>
      <c r="AC25" s="45">
        <f t="shared" si="9"/>
        <v>1937.5</v>
      </c>
      <c r="AD25" s="45">
        <f t="shared" si="9"/>
        <v>1812.5000000000002</v>
      </c>
      <c r="AE25" s="45">
        <f t="shared" si="9"/>
        <v>1937.5</v>
      </c>
      <c r="AF25" s="45">
        <f t="shared" si="9"/>
        <v>1875</v>
      </c>
      <c r="AG25" s="45">
        <f t="shared" si="9"/>
        <v>1937.5</v>
      </c>
      <c r="AH25" s="45">
        <f t="shared" si="9"/>
        <v>1937.5</v>
      </c>
      <c r="AI25" s="45">
        <f t="shared" ref="AI25:BA25" si="10">AI24*0.175*0.5</f>
        <v>1875</v>
      </c>
      <c r="AJ25" s="45">
        <f t="shared" si="10"/>
        <v>1937.5</v>
      </c>
      <c r="AK25" s="45">
        <f t="shared" si="10"/>
        <v>1812.5000000000002</v>
      </c>
      <c r="AL25" s="45">
        <f t="shared" si="10"/>
        <v>1937.5</v>
      </c>
      <c r="AM25" s="45">
        <f t="shared" si="10"/>
        <v>1187.5</v>
      </c>
      <c r="AN25" s="45">
        <f t="shared" si="10"/>
        <v>1687.5</v>
      </c>
      <c r="AO25" s="45">
        <f t="shared" si="10"/>
        <v>1937.5</v>
      </c>
      <c r="AP25" s="45">
        <f t="shared" si="10"/>
        <v>1812.5000000000002</v>
      </c>
      <c r="AQ25" s="45">
        <f t="shared" si="10"/>
        <v>1937.5</v>
      </c>
      <c r="AR25" s="45">
        <f t="shared" si="10"/>
        <v>1875</v>
      </c>
      <c r="AS25" s="45">
        <f t="shared" si="10"/>
        <v>1937.5</v>
      </c>
      <c r="AT25" s="45">
        <f t="shared" si="10"/>
        <v>1937.5</v>
      </c>
      <c r="AU25" s="45">
        <f t="shared" si="10"/>
        <v>1875</v>
      </c>
      <c r="AV25" s="45">
        <f t="shared" si="10"/>
        <v>1937.5</v>
      </c>
      <c r="AW25" s="45">
        <f t="shared" si="10"/>
        <v>1812.5000000000002</v>
      </c>
      <c r="AX25" s="45">
        <f t="shared" si="10"/>
        <v>1937.5</v>
      </c>
      <c r="AY25" s="45">
        <f t="shared" si="10"/>
        <v>1187.5</v>
      </c>
      <c r="AZ25" s="45">
        <f t="shared" si="10"/>
        <v>1687.5</v>
      </c>
      <c r="BA25" s="45">
        <f t="shared" si="10"/>
        <v>1937.5</v>
      </c>
    </row>
    <row r="26" spans="1:53" ht="12.75" customHeight="1" x14ac:dyDescent="0.25">
      <c r="B26" s="61" t="s">
        <v>167</v>
      </c>
      <c r="C26" s="45">
        <f>'P_L Workings'!C142</f>
        <v>0</v>
      </c>
      <c r="D26" s="45">
        <f>'P_L Workings'!D142</f>
        <v>0</v>
      </c>
      <c r="E26" s="45">
        <f>'P_L Workings'!E142</f>
        <v>296779.09794871794</v>
      </c>
      <c r="F26" s="45">
        <f>'P_L Workings'!F142</f>
        <v>1236989.6933333334</v>
      </c>
      <c r="G26" s="45">
        <f>'P_L Workings'!G142</f>
        <v>1285996.3733333333</v>
      </c>
      <c r="H26" s="45">
        <f>'P_L Workings'!H142</f>
        <v>1261493.0333333332</v>
      </c>
      <c r="I26" s="45">
        <f>'P_L Workings'!I142</f>
        <v>1285996.3733333333</v>
      </c>
      <c r="J26" s="45">
        <f>'P_L Workings'!J142</f>
        <v>1285996.3733333333</v>
      </c>
      <c r="K26" s="45">
        <f>'P_L Workings'!K142</f>
        <v>1261493.0333333332</v>
      </c>
      <c r="L26" s="45">
        <f>'P_L Workings'!L142</f>
        <v>1285996.3733333333</v>
      </c>
      <c r="M26" s="45">
        <f>'P_L Workings'!M142</f>
        <v>1236989.6933333334</v>
      </c>
      <c r="N26" s="45">
        <f>'P_L Workings'!N142</f>
        <v>1285996.3733333333</v>
      </c>
      <c r="O26" s="45">
        <f>'P_L Workings'!O142</f>
        <v>991956.29333333333</v>
      </c>
      <c r="P26" s="45">
        <f>'P_L Workings'!P142</f>
        <v>1187983.0133333334</v>
      </c>
      <c r="Q26" s="45">
        <f>'P_L Workings'!Q142</f>
        <v>1285996.3733333333</v>
      </c>
      <c r="R26" s="45">
        <f>'P_L Workings'!R142</f>
        <v>1236989.6933333334</v>
      </c>
      <c r="S26" s="45">
        <f>'P_L Workings'!S142</f>
        <v>1285996.3733333333</v>
      </c>
      <c r="T26" s="45">
        <f>'P_L Workings'!T142</f>
        <v>1261493.0333333332</v>
      </c>
      <c r="U26" s="45">
        <f>'P_L Workings'!U142</f>
        <v>1285996.3733333333</v>
      </c>
      <c r="V26" s="45">
        <f>'P_L Workings'!V142</f>
        <v>1285996.3733333333</v>
      </c>
      <c r="W26" s="45">
        <f>'P_L Workings'!W142</f>
        <v>1261493.0333333332</v>
      </c>
      <c r="X26" s="45">
        <f>'P_L Workings'!X142</f>
        <v>1285996.3733333333</v>
      </c>
      <c r="Y26" s="45">
        <f>'P_L Workings'!Y142</f>
        <v>1236989.6933333334</v>
      </c>
      <c r="Z26" s="45">
        <f>'P_L Workings'!Z142</f>
        <v>1285996.3733333333</v>
      </c>
      <c r="AA26" s="45">
        <f>'P_L Workings'!AA142</f>
        <v>967452.95333333337</v>
      </c>
      <c r="AB26" s="45">
        <f>'P_L Workings'!AB142</f>
        <v>1212486.3533333333</v>
      </c>
      <c r="AC26" s="45">
        <f>'P_L Workings'!AC142</f>
        <v>1285996.3733333333</v>
      </c>
      <c r="AD26" s="45">
        <f>'P_L Workings'!AD142</f>
        <v>1236989.6933333334</v>
      </c>
      <c r="AE26" s="45">
        <f>'P_L Workings'!AE142</f>
        <v>1285996.3733333333</v>
      </c>
      <c r="AF26" s="45">
        <f>'P_L Workings'!AF142</f>
        <v>1261493.0333333332</v>
      </c>
      <c r="AG26" s="45">
        <f>'P_L Workings'!AG142</f>
        <v>1285996.3733333333</v>
      </c>
      <c r="AH26" s="45">
        <f>'P_L Workings'!AH142</f>
        <v>1285996.3733333333</v>
      </c>
      <c r="AI26" s="45">
        <f>'P_L Workings'!AI142</f>
        <v>1261493.0333333332</v>
      </c>
      <c r="AJ26" s="45">
        <f>'P_L Workings'!AJ142</f>
        <v>1285996.3733333333</v>
      </c>
      <c r="AK26" s="45">
        <f>'P_L Workings'!AK142</f>
        <v>1236989.6933333334</v>
      </c>
      <c r="AL26" s="45">
        <f>'P_L Workings'!AL142</f>
        <v>1285996.3733333333</v>
      </c>
      <c r="AM26" s="45">
        <f>'P_L Workings'!AM142</f>
        <v>991956.29333333333</v>
      </c>
      <c r="AN26" s="45">
        <f>'P_L Workings'!AN142</f>
        <v>1187983.0133333334</v>
      </c>
      <c r="AO26" s="45">
        <f>'P_L Workings'!AO142</f>
        <v>1285996.3733333333</v>
      </c>
      <c r="AP26" s="45">
        <f>'P_L Workings'!AP142</f>
        <v>1236989.6933333334</v>
      </c>
      <c r="AQ26" s="45">
        <f>'P_L Workings'!AQ142</f>
        <v>1285996.3733333333</v>
      </c>
      <c r="AR26" s="45">
        <f>'P_L Workings'!AR142</f>
        <v>1261493.0333333332</v>
      </c>
      <c r="AS26" s="45">
        <f>'P_L Workings'!AS142</f>
        <v>1285996.3733333333</v>
      </c>
      <c r="AT26" s="45">
        <f>'P_L Workings'!AT142</f>
        <v>1285996.3733333333</v>
      </c>
      <c r="AU26" s="45">
        <f>'P_L Workings'!AU142</f>
        <v>1261493.0333333332</v>
      </c>
      <c r="AV26" s="45">
        <f>'P_L Workings'!AV142</f>
        <v>1285996.3733333333</v>
      </c>
      <c r="AW26" s="45">
        <f>'P_L Workings'!AW142</f>
        <v>1236989.6933333334</v>
      </c>
      <c r="AX26" s="45">
        <f>'P_L Workings'!AX142</f>
        <v>1285996.3733333333</v>
      </c>
      <c r="AY26" s="45">
        <f>'P_L Workings'!AY142</f>
        <v>991956.29333333333</v>
      </c>
      <c r="AZ26" s="45">
        <f>'P_L Workings'!AZ142</f>
        <v>1187983.0133333334</v>
      </c>
      <c r="BA26" s="45">
        <f>'P_L Workings'!BA142</f>
        <v>1285996.3733333333</v>
      </c>
    </row>
    <row r="27" spans="1:53" ht="12.75" customHeight="1" x14ac:dyDescent="0.25">
      <c r="B27" s="61" t="s">
        <v>168</v>
      </c>
      <c r="C27" s="45">
        <f t="shared" ref="C27:AH27" si="11">C26*0.1</f>
        <v>0</v>
      </c>
      <c r="D27" s="45">
        <f t="shared" si="11"/>
        <v>0</v>
      </c>
      <c r="E27" s="45">
        <f t="shared" si="11"/>
        <v>29677.909794871797</v>
      </c>
      <c r="F27" s="45">
        <f t="shared" si="11"/>
        <v>123698.96933333334</v>
      </c>
      <c r="G27" s="45">
        <f t="shared" si="11"/>
        <v>128599.63733333333</v>
      </c>
      <c r="H27" s="45">
        <f t="shared" si="11"/>
        <v>126149.30333333333</v>
      </c>
      <c r="I27" s="45">
        <f t="shared" si="11"/>
        <v>128599.63733333333</v>
      </c>
      <c r="J27" s="45">
        <f t="shared" si="11"/>
        <v>128599.63733333333</v>
      </c>
      <c r="K27" s="45">
        <f t="shared" si="11"/>
        <v>126149.30333333333</v>
      </c>
      <c r="L27" s="45">
        <f t="shared" si="11"/>
        <v>128599.63733333333</v>
      </c>
      <c r="M27" s="45">
        <f t="shared" si="11"/>
        <v>123698.96933333334</v>
      </c>
      <c r="N27" s="45">
        <f t="shared" si="11"/>
        <v>128599.63733333333</v>
      </c>
      <c r="O27" s="45">
        <f t="shared" si="11"/>
        <v>99195.629333333345</v>
      </c>
      <c r="P27" s="45">
        <f t="shared" si="11"/>
        <v>118798.30133333335</v>
      </c>
      <c r="Q27" s="45">
        <f t="shared" si="11"/>
        <v>128599.63733333333</v>
      </c>
      <c r="R27" s="45">
        <f t="shared" si="11"/>
        <v>123698.96933333334</v>
      </c>
      <c r="S27" s="45">
        <f t="shared" si="11"/>
        <v>128599.63733333333</v>
      </c>
      <c r="T27" s="45">
        <f t="shared" si="11"/>
        <v>126149.30333333333</v>
      </c>
      <c r="U27" s="45">
        <f t="shared" si="11"/>
        <v>128599.63733333333</v>
      </c>
      <c r="V27" s="45">
        <f t="shared" si="11"/>
        <v>128599.63733333333</v>
      </c>
      <c r="W27" s="45">
        <f t="shared" si="11"/>
        <v>126149.30333333333</v>
      </c>
      <c r="X27" s="45">
        <f t="shared" si="11"/>
        <v>128599.63733333333</v>
      </c>
      <c r="Y27" s="45">
        <f t="shared" si="11"/>
        <v>123698.96933333334</v>
      </c>
      <c r="Z27" s="45">
        <f t="shared" si="11"/>
        <v>128599.63733333333</v>
      </c>
      <c r="AA27" s="45">
        <f t="shared" si="11"/>
        <v>96745.295333333343</v>
      </c>
      <c r="AB27" s="45">
        <f t="shared" si="11"/>
        <v>121248.63533333334</v>
      </c>
      <c r="AC27" s="45">
        <f t="shared" si="11"/>
        <v>128599.63733333333</v>
      </c>
      <c r="AD27" s="45">
        <f t="shared" si="11"/>
        <v>123698.96933333334</v>
      </c>
      <c r="AE27" s="45">
        <f t="shared" si="11"/>
        <v>128599.63733333333</v>
      </c>
      <c r="AF27" s="45">
        <f t="shared" si="11"/>
        <v>126149.30333333333</v>
      </c>
      <c r="AG27" s="45">
        <f t="shared" si="11"/>
        <v>128599.63733333333</v>
      </c>
      <c r="AH27" s="45">
        <f t="shared" si="11"/>
        <v>128599.63733333333</v>
      </c>
      <c r="AI27" s="45">
        <f t="shared" ref="AI27:BA27" si="12">AI26*0.1</f>
        <v>126149.30333333333</v>
      </c>
      <c r="AJ27" s="45">
        <f t="shared" si="12"/>
        <v>128599.63733333333</v>
      </c>
      <c r="AK27" s="45">
        <f t="shared" si="12"/>
        <v>123698.96933333334</v>
      </c>
      <c r="AL27" s="45">
        <f t="shared" si="12"/>
        <v>128599.63733333333</v>
      </c>
      <c r="AM27" s="45">
        <f t="shared" si="12"/>
        <v>99195.629333333345</v>
      </c>
      <c r="AN27" s="45">
        <f t="shared" si="12"/>
        <v>118798.30133333335</v>
      </c>
      <c r="AO27" s="45">
        <f t="shared" si="12"/>
        <v>128599.63733333333</v>
      </c>
      <c r="AP27" s="45">
        <f t="shared" si="12"/>
        <v>123698.96933333334</v>
      </c>
      <c r="AQ27" s="45">
        <f t="shared" si="12"/>
        <v>128599.63733333333</v>
      </c>
      <c r="AR27" s="45">
        <f t="shared" si="12"/>
        <v>126149.30333333333</v>
      </c>
      <c r="AS27" s="45">
        <f t="shared" si="12"/>
        <v>128599.63733333333</v>
      </c>
      <c r="AT27" s="45">
        <f t="shared" si="12"/>
        <v>128599.63733333333</v>
      </c>
      <c r="AU27" s="45">
        <f t="shared" si="12"/>
        <v>126149.30333333333</v>
      </c>
      <c r="AV27" s="45">
        <f t="shared" si="12"/>
        <v>128599.63733333333</v>
      </c>
      <c r="AW27" s="45">
        <f t="shared" si="12"/>
        <v>123698.96933333334</v>
      </c>
      <c r="AX27" s="45">
        <f t="shared" si="12"/>
        <v>128599.63733333333</v>
      </c>
      <c r="AY27" s="45">
        <f t="shared" si="12"/>
        <v>99195.629333333345</v>
      </c>
      <c r="AZ27" s="45">
        <f t="shared" si="12"/>
        <v>118798.30133333335</v>
      </c>
      <c r="BA27" s="45">
        <f t="shared" si="12"/>
        <v>128599.63733333333</v>
      </c>
    </row>
    <row r="28" spans="1:53" ht="12.75" customHeight="1" x14ac:dyDescent="0.25">
      <c r="B28" s="61" t="s">
        <v>169</v>
      </c>
      <c r="C28" s="45">
        <f>'P_L Workings'!C149</f>
        <v>0</v>
      </c>
      <c r="D28" s="45">
        <f>'P_L Workings'!D149</f>
        <v>0</v>
      </c>
      <c r="E28" s="45">
        <f>'P_L Workings'!E149</f>
        <v>600000</v>
      </c>
      <c r="F28" s="45">
        <f>'P_L Workings'!F149</f>
        <v>28750</v>
      </c>
      <c r="G28" s="45">
        <f>'P_L Workings'!G149</f>
        <v>28750</v>
      </c>
      <c r="H28" s="45">
        <f>'P_L Workings'!H149</f>
        <v>28750</v>
      </c>
      <c r="I28" s="45">
        <f>'P_L Workings'!I149</f>
        <v>28750</v>
      </c>
      <c r="J28" s="45">
        <f>'P_L Workings'!J149</f>
        <v>28750</v>
      </c>
      <c r="K28" s="45">
        <f>'P_L Workings'!K149</f>
        <v>28750</v>
      </c>
      <c r="L28" s="45">
        <f>'P_L Workings'!L149</f>
        <v>28750</v>
      </c>
      <c r="M28" s="45">
        <f>'P_L Workings'!M149</f>
        <v>28750</v>
      </c>
      <c r="N28" s="45">
        <f>'P_L Workings'!N149</f>
        <v>28750</v>
      </c>
      <c r="O28" s="45">
        <f>'P_L Workings'!O149</f>
        <v>28750</v>
      </c>
      <c r="P28" s="45">
        <f>'P_L Workings'!P149</f>
        <v>28750</v>
      </c>
      <c r="Q28" s="45">
        <f>'P_L Workings'!Q149</f>
        <v>28750</v>
      </c>
      <c r="R28" s="45">
        <f>'P_L Workings'!R149</f>
        <v>28750</v>
      </c>
      <c r="S28" s="45">
        <f>'P_L Workings'!S149</f>
        <v>28750</v>
      </c>
      <c r="T28" s="45">
        <f>'P_L Workings'!T149</f>
        <v>28750</v>
      </c>
      <c r="U28" s="45">
        <f>'P_L Workings'!U149</f>
        <v>28750</v>
      </c>
      <c r="V28" s="45">
        <f>'P_L Workings'!V149</f>
        <v>28750</v>
      </c>
      <c r="W28" s="45">
        <f>'P_L Workings'!W149</f>
        <v>28750</v>
      </c>
      <c r="X28" s="45">
        <f>'P_L Workings'!X149</f>
        <v>28750</v>
      </c>
      <c r="Y28" s="45">
        <f>'P_L Workings'!Y149</f>
        <v>28750</v>
      </c>
      <c r="Z28" s="45">
        <f>'P_L Workings'!Z149</f>
        <v>28750</v>
      </c>
      <c r="AA28" s="45">
        <f>'P_L Workings'!AA149</f>
        <v>28750</v>
      </c>
      <c r="AB28" s="45">
        <f>'P_L Workings'!AB149</f>
        <v>28750</v>
      </c>
      <c r="AC28" s="45">
        <f>'P_L Workings'!AC149</f>
        <v>28750</v>
      </c>
      <c r="AD28" s="45">
        <f>'P_L Workings'!AD149</f>
        <v>28750</v>
      </c>
      <c r="AE28" s="45">
        <f>'P_L Workings'!AE149</f>
        <v>28750</v>
      </c>
      <c r="AF28" s="45">
        <f>'P_L Workings'!AF149</f>
        <v>28750</v>
      </c>
      <c r="AG28" s="45">
        <f>'P_L Workings'!AG149</f>
        <v>28750</v>
      </c>
      <c r="AH28" s="45">
        <f>'P_L Workings'!AH149</f>
        <v>28750</v>
      </c>
      <c r="AI28" s="45">
        <f>'P_L Workings'!AI149</f>
        <v>28750</v>
      </c>
      <c r="AJ28" s="45">
        <f>'P_L Workings'!AJ149</f>
        <v>28750</v>
      </c>
      <c r="AK28" s="45">
        <f>'P_L Workings'!AK149</f>
        <v>28750</v>
      </c>
      <c r="AL28" s="45">
        <f>'P_L Workings'!AL149</f>
        <v>28750</v>
      </c>
      <c r="AM28" s="45">
        <f>'P_L Workings'!AM149</f>
        <v>28750</v>
      </c>
      <c r="AN28" s="45">
        <f>'P_L Workings'!AN149</f>
        <v>28750</v>
      </c>
      <c r="AO28" s="45">
        <f>'P_L Workings'!AO149</f>
        <v>28750</v>
      </c>
      <c r="AP28" s="45">
        <f>'P_L Workings'!AP149</f>
        <v>28750</v>
      </c>
      <c r="AQ28" s="45">
        <f>'P_L Workings'!AQ149</f>
        <v>28750</v>
      </c>
      <c r="AR28" s="45">
        <f>'P_L Workings'!AR149</f>
        <v>28750</v>
      </c>
      <c r="AS28" s="45">
        <f>'P_L Workings'!AS149</f>
        <v>28750</v>
      </c>
      <c r="AT28" s="45">
        <f>'P_L Workings'!AT149</f>
        <v>28750</v>
      </c>
      <c r="AU28" s="45">
        <f>'P_L Workings'!AU149</f>
        <v>28750</v>
      </c>
      <c r="AV28" s="45">
        <f>'P_L Workings'!AV149</f>
        <v>28750</v>
      </c>
      <c r="AW28" s="45">
        <f>'P_L Workings'!AW149</f>
        <v>28750</v>
      </c>
      <c r="AX28" s="45">
        <f>'P_L Workings'!AX149</f>
        <v>28750</v>
      </c>
      <c r="AY28" s="45">
        <f>'P_L Workings'!AY149</f>
        <v>28750</v>
      </c>
      <c r="AZ28" s="45">
        <f>'P_L Workings'!AZ149</f>
        <v>28750</v>
      </c>
      <c r="BA28" s="45">
        <f>'P_L Workings'!BA149</f>
        <v>28750</v>
      </c>
    </row>
    <row r="29" spans="1:53" ht="12.75" customHeight="1" x14ac:dyDescent="0.25">
      <c r="B29" s="61" t="s">
        <v>170</v>
      </c>
      <c r="C29" s="45">
        <f t="shared" ref="C29:AH29" si="13">C28*0.175</f>
        <v>0</v>
      </c>
      <c r="D29" s="45">
        <f t="shared" si="13"/>
        <v>0</v>
      </c>
      <c r="E29" s="45">
        <f t="shared" si="13"/>
        <v>105000</v>
      </c>
      <c r="F29" s="45">
        <f t="shared" si="13"/>
        <v>5031.25</v>
      </c>
      <c r="G29" s="45">
        <f t="shared" si="13"/>
        <v>5031.25</v>
      </c>
      <c r="H29" s="45">
        <f t="shared" si="13"/>
        <v>5031.25</v>
      </c>
      <c r="I29" s="45">
        <f t="shared" si="13"/>
        <v>5031.25</v>
      </c>
      <c r="J29" s="45">
        <f t="shared" si="13"/>
        <v>5031.25</v>
      </c>
      <c r="K29" s="45">
        <f t="shared" si="13"/>
        <v>5031.25</v>
      </c>
      <c r="L29" s="45">
        <f t="shared" si="13"/>
        <v>5031.25</v>
      </c>
      <c r="M29" s="45">
        <f t="shared" si="13"/>
        <v>5031.25</v>
      </c>
      <c r="N29" s="45">
        <f t="shared" si="13"/>
        <v>5031.25</v>
      </c>
      <c r="O29" s="45">
        <f t="shared" si="13"/>
        <v>5031.25</v>
      </c>
      <c r="P29" s="45">
        <f t="shared" si="13"/>
        <v>5031.25</v>
      </c>
      <c r="Q29" s="45">
        <f t="shared" si="13"/>
        <v>5031.25</v>
      </c>
      <c r="R29" s="45">
        <f t="shared" si="13"/>
        <v>5031.25</v>
      </c>
      <c r="S29" s="45">
        <f t="shared" si="13"/>
        <v>5031.25</v>
      </c>
      <c r="T29" s="45">
        <f t="shared" si="13"/>
        <v>5031.25</v>
      </c>
      <c r="U29" s="45">
        <f t="shared" si="13"/>
        <v>5031.25</v>
      </c>
      <c r="V29" s="45">
        <f t="shared" si="13"/>
        <v>5031.25</v>
      </c>
      <c r="W29" s="45">
        <f t="shared" si="13"/>
        <v>5031.25</v>
      </c>
      <c r="X29" s="45">
        <f t="shared" si="13"/>
        <v>5031.25</v>
      </c>
      <c r="Y29" s="45">
        <f t="shared" si="13"/>
        <v>5031.25</v>
      </c>
      <c r="Z29" s="45">
        <f t="shared" si="13"/>
        <v>5031.25</v>
      </c>
      <c r="AA29" s="45">
        <f t="shared" si="13"/>
        <v>5031.25</v>
      </c>
      <c r="AB29" s="45">
        <f t="shared" si="13"/>
        <v>5031.25</v>
      </c>
      <c r="AC29" s="45">
        <f t="shared" si="13"/>
        <v>5031.25</v>
      </c>
      <c r="AD29" s="45">
        <f t="shared" si="13"/>
        <v>5031.25</v>
      </c>
      <c r="AE29" s="45">
        <f t="shared" si="13"/>
        <v>5031.25</v>
      </c>
      <c r="AF29" s="45">
        <f t="shared" si="13"/>
        <v>5031.25</v>
      </c>
      <c r="AG29" s="45">
        <f t="shared" si="13"/>
        <v>5031.25</v>
      </c>
      <c r="AH29" s="45">
        <f t="shared" si="13"/>
        <v>5031.25</v>
      </c>
      <c r="AI29" s="45">
        <f t="shared" ref="AI29:BA29" si="14">AI28*0.175</f>
        <v>5031.25</v>
      </c>
      <c r="AJ29" s="45">
        <f t="shared" si="14"/>
        <v>5031.25</v>
      </c>
      <c r="AK29" s="45">
        <f t="shared" si="14"/>
        <v>5031.25</v>
      </c>
      <c r="AL29" s="45">
        <f t="shared" si="14"/>
        <v>5031.25</v>
      </c>
      <c r="AM29" s="45">
        <f t="shared" si="14"/>
        <v>5031.25</v>
      </c>
      <c r="AN29" s="45">
        <f t="shared" si="14"/>
        <v>5031.25</v>
      </c>
      <c r="AO29" s="45">
        <f t="shared" si="14"/>
        <v>5031.25</v>
      </c>
      <c r="AP29" s="45">
        <f t="shared" si="14"/>
        <v>5031.25</v>
      </c>
      <c r="AQ29" s="45">
        <f t="shared" si="14"/>
        <v>5031.25</v>
      </c>
      <c r="AR29" s="45">
        <f t="shared" si="14"/>
        <v>5031.25</v>
      </c>
      <c r="AS29" s="45">
        <f t="shared" si="14"/>
        <v>5031.25</v>
      </c>
      <c r="AT29" s="45">
        <f t="shared" si="14"/>
        <v>5031.25</v>
      </c>
      <c r="AU29" s="45">
        <f t="shared" si="14"/>
        <v>5031.25</v>
      </c>
      <c r="AV29" s="45">
        <f t="shared" si="14"/>
        <v>5031.25</v>
      </c>
      <c r="AW29" s="45">
        <f t="shared" si="14"/>
        <v>5031.25</v>
      </c>
      <c r="AX29" s="45">
        <f t="shared" si="14"/>
        <v>5031.25</v>
      </c>
      <c r="AY29" s="45">
        <f t="shared" si="14"/>
        <v>5031.25</v>
      </c>
      <c r="AZ29" s="45">
        <f t="shared" si="14"/>
        <v>5031.25</v>
      </c>
      <c r="BA29" s="45">
        <f t="shared" si="14"/>
        <v>5031.25</v>
      </c>
    </row>
    <row r="30" spans="1:53" ht="12.75" customHeight="1" x14ac:dyDescent="0.25">
      <c r="B30" s="61" t="s">
        <v>171</v>
      </c>
      <c r="C30" s="45">
        <f>'P_L Workings'!C157</f>
        <v>0</v>
      </c>
      <c r="D30" s="45">
        <f>'P_L Workings'!D157</f>
        <v>0</v>
      </c>
      <c r="E30" s="45">
        <f>'P_L Workings'!E157</f>
        <v>27250</v>
      </c>
      <c r="F30" s="45">
        <f>'P_L Workings'!F157</f>
        <v>54145.833333333328</v>
      </c>
      <c r="G30" s="45">
        <f>'P_L Workings'!G157</f>
        <v>54145.833333333328</v>
      </c>
      <c r="H30" s="45">
        <f>'P_L Workings'!H157</f>
        <v>54145.833333333328</v>
      </c>
      <c r="I30" s="45">
        <f>'P_L Workings'!I157</f>
        <v>54145.833333333328</v>
      </c>
      <c r="J30" s="45">
        <f>'P_L Workings'!J157</f>
        <v>54145.833333333328</v>
      </c>
      <c r="K30" s="45">
        <f>'P_L Workings'!K157</f>
        <v>54145.833333333328</v>
      </c>
      <c r="L30" s="45">
        <f>'P_L Workings'!L157</f>
        <v>54145.833333333328</v>
      </c>
      <c r="M30" s="45">
        <f>'P_L Workings'!M157</f>
        <v>54145.833333333328</v>
      </c>
      <c r="N30" s="45">
        <f>'P_L Workings'!N157</f>
        <v>54145.833333333328</v>
      </c>
      <c r="O30" s="45">
        <f>'P_L Workings'!O157</f>
        <v>54145.833333333328</v>
      </c>
      <c r="P30" s="45">
        <f>'P_L Workings'!P157</f>
        <v>54145.833333333328</v>
      </c>
      <c r="Q30" s="45">
        <f>'P_L Workings'!Q157</f>
        <v>54145.833333333328</v>
      </c>
      <c r="R30" s="45">
        <f>'P_L Workings'!R157</f>
        <v>54145.833333333328</v>
      </c>
      <c r="S30" s="45">
        <f>'P_L Workings'!S157</f>
        <v>54145.833333333328</v>
      </c>
      <c r="T30" s="45">
        <f>'P_L Workings'!T157</f>
        <v>54145.833333333328</v>
      </c>
      <c r="U30" s="45">
        <f>'P_L Workings'!U157</f>
        <v>54145.833333333328</v>
      </c>
      <c r="V30" s="45">
        <f>'P_L Workings'!V157</f>
        <v>54145.833333333328</v>
      </c>
      <c r="W30" s="45">
        <f>'P_L Workings'!W157</f>
        <v>54145.833333333328</v>
      </c>
      <c r="X30" s="45">
        <f>'P_L Workings'!X157</f>
        <v>54145.833333333328</v>
      </c>
      <c r="Y30" s="45">
        <f>'P_L Workings'!Y157</f>
        <v>54145.833333333328</v>
      </c>
      <c r="Z30" s="45">
        <f>'P_L Workings'!Z157</f>
        <v>54145.833333333328</v>
      </c>
      <c r="AA30" s="45">
        <f>'P_L Workings'!AA157</f>
        <v>54145.833333333328</v>
      </c>
      <c r="AB30" s="45">
        <f>'P_L Workings'!AB157</f>
        <v>54145.833333333328</v>
      </c>
      <c r="AC30" s="45">
        <f>'P_L Workings'!AC157</f>
        <v>54145.833333333328</v>
      </c>
      <c r="AD30" s="45">
        <f>'P_L Workings'!AD157</f>
        <v>54145.833333333328</v>
      </c>
      <c r="AE30" s="45">
        <f>'P_L Workings'!AE157</f>
        <v>54145.833333333328</v>
      </c>
      <c r="AF30" s="45">
        <f>'P_L Workings'!AF157</f>
        <v>54145.833333333328</v>
      </c>
      <c r="AG30" s="45">
        <f>'P_L Workings'!AG157</f>
        <v>54145.833333333328</v>
      </c>
      <c r="AH30" s="45">
        <f>'P_L Workings'!AH157</f>
        <v>54145.833333333328</v>
      </c>
      <c r="AI30" s="45">
        <f>'P_L Workings'!AI157</f>
        <v>54145.833333333328</v>
      </c>
      <c r="AJ30" s="45">
        <f>'P_L Workings'!AJ157</f>
        <v>54145.833333333328</v>
      </c>
      <c r="AK30" s="45">
        <f>'P_L Workings'!AK157</f>
        <v>54145.833333333328</v>
      </c>
      <c r="AL30" s="45">
        <f>'P_L Workings'!AL157</f>
        <v>54145.833333333328</v>
      </c>
      <c r="AM30" s="45">
        <f>'P_L Workings'!AM157</f>
        <v>54145.833333333328</v>
      </c>
      <c r="AN30" s="45">
        <f>'P_L Workings'!AN157</f>
        <v>54145.833333333328</v>
      </c>
      <c r="AO30" s="45">
        <f>'P_L Workings'!AO157</f>
        <v>54145.833333333328</v>
      </c>
      <c r="AP30" s="45">
        <f>'P_L Workings'!AP157</f>
        <v>54145.833333333328</v>
      </c>
      <c r="AQ30" s="45">
        <f>'P_L Workings'!AQ157</f>
        <v>54145.833333333328</v>
      </c>
      <c r="AR30" s="45">
        <f>'P_L Workings'!AR157</f>
        <v>54145.833333333328</v>
      </c>
      <c r="AS30" s="45">
        <f>'P_L Workings'!AS157</f>
        <v>54145.833333333328</v>
      </c>
      <c r="AT30" s="45">
        <f>'P_L Workings'!AT157</f>
        <v>54145.833333333328</v>
      </c>
      <c r="AU30" s="45">
        <f>'P_L Workings'!AU157</f>
        <v>54145.833333333328</v>
      </c>
      <c r="AV30" s="45">
        <f>'P_L Workings'!AV157</f>
        <v>54145.833333333328</v>
      </c>
      <c r="AW30" s="45">
        <f>'P_L Workings'!AW157</f>
        <v>54145.833333333328</v>
      </c>
      <c r="AX30" s="45">
        <f>'P_L Workings'!AX157</f>
        <v>54145.833333333328</v>
      </c>
      <c r="AY30" s="45">
        <f>'P_L Workings'!AY157</f>
        <v>54145.833333333328</v>
      </c>
      <c r="AZ30" s="45">
        <f>'P_L Workings'!AZ157</f>
        <v>54145.833333333328</v>
      </c>
      <c r="BA30" s="45">
        <f>'P_L Workings'!BA157</f>
        <v>54145.833333333328</v>
      </c>
    </row>
    <row r="31" spans="1:53" ht="12.75" customHeight="1" x14ac:dyDescent="0.25">
      <c r="B31" s="61" t="s">
        <v>172</v>
      </c>
      <c r="C31" s="45">
        <f t="shared" ref="C31:AH31" si="15">C30*0.175</f>
        <v>0</v>
      </c>
      <c r="D31" s="45">
        <f t="shared" si="15"/>
        <v>0</v>
      </c>
      <c r="E31" s="45">
        <f t="shared" si="15"/>
        <v>4768.75</v>
      </c>
      <c r="F31" s="45">
        <f t="shared" si="15"/>
        <v>9475.5208333333321</v>
      </c>
      <c r="G31" s="45">
        <f t="shared" si="15"/>
        <v>9475.5208333333321</v>
      </c>
      <c r="H31" s="45">
        <f t="shared" si="15"/>
        <v>9475.5208333333321</v>
      </c>
      <c r="I31" s="45">
        <f t="shared" si="15"/>
        <v>9475.5208333333321</v>
      </c>
      <c r="J31" s="45">
        <f t="shared" si="15"/>
        <v>9475.5208333333321</v>
      </c>
      <c r="K31" s="45">
        <f t="shared" si="15"/>
        <v>9475.5208333333321</v>
      </c>
      <c r="L31" s="45">
        <f t="shared" si="15"/>
        <v>9475.5208333333321</v>
      </c>
      <c r="M31" s="45">
        <f t="shared" si="15"/>
        <v>9475.5208333333321</v>
      </c>
      <c r="N31" s="45">
        <f t="shared" si="15"/>
        <v>9475.5208333333321</v>
      </c>
      <c r="O31" s="45">
        <f t="shared" si="15"/>
        <v>9475.5208333333321</v>
      </c>
      <c r="P31" s="45">
        <f t="shared" si="15"/>
        <v>9475.5208333333321</v>
      </c>
      <c r="Q31" s="45">
        <f t="shared" si="15"/>
        <v>9475.5208333333321</v>
      </c>
      <c r="R31" s="45">
        <f t="shared" si="15"/>
        <v>9475.5208333333321</v>
      </c>
      <c r="S31" s="45">
        <f t="shared" si="15"/>
        <v>9475.5208333333321</v>
      </c>
      <c r="T31" s="45">
        <f t="shared" si="15"/>
        <v>9475.5208333333321</v>
      </c>
      <c r="U31" s="45">
        <f t="shared" si="15"/>
        <v>9475.5208333333321</v>
      </c>
      <c r="V31" s="45">
        <f t="shared" si="15"/>
        <v>9475.5208333333321</v>
      </c>
      <c r="W31" s="45">
        <f t="shared" si="15"/>
        <v>9475.5208333333321</v>
      </c>
      <c r="X31" s="45">
        <f t="shared" si="15"/>
        <v>9475.5208333333321</v>
      </c>
      <c r="Y31" s="45">
        <f t="shared" si="15"/>
        <v>9475.5208333333321</v>
      </c>
      <c r="Z31" s="45">
        <f t="shared" si="15"/>
        <v>9475.5208333333321</v>
      </c>
      <c r="AA31" s="45">
        <f t="shared" si="15"/>
        <v>9475.5208333333321</v>
      </c>
      <c r="AB31" s="45">
        <f t="shared" si="15"/>
        <v>9475.5208333333321</v>
      </c>
      <c r="AC31" s="45">
        <f t="shared" si="15"/>
        <v>9475.5208333333321</v>
      </c>
      <c r="AD31" s="45">
        <f t="shared" si="15"/>
        <v>9475.5208333333321</v>
      </c>
      <c r="AE31" s="45">
        <f t="shared" si="15"/>
        <v>9475.5208333333321</v>
      </c>
      <c r="AF31" s="45">
        <f t="shared" si="15"/>
        <v>9475.5208333333321</v>
      </c>
      <c r="AG31" s="45">
        <f t="shared" si="15"/>
        <v>9475.5208333333321</v>
      </c>
      <c r="AH31" s="45">
        <f t="shared" si="15"/>
        <v>9475.5208333333321</v>
      </c>
      <c r="AI31" s="45">
        <f t="shared" ref="AI31:BA31" si="16">AI30*0.175</f>
        <v>9475.5208333333321</v>
      </c>
      <c r="AJ31" s="45">
        <f t="shared" si="16"/>
        <v>9475.5208333333321</v>
      </c>
      <c r="AK31" s="45">
        <f t="shared" si="16"/>
        <v>9475.5208333333321</v>
      </c>
      <c r="AL31" s="45">
        <f t="shared" si="16"/>
        <v>9475.5208333333321</v>
      </c>
      <c r="AM31" s="45">
        <f t="shared" si="16"/>
        <v>9475.5208333333321</v>
      </c>
      <c r="AN31" s="45">
        <f t="shared" si="16"/>
        <v>9475.5208333333321</v>
      </c>
      <c r="AO31" s="45">
        <f t="shared" si="16"/>
        <v>9475.5208333333321</v>
      </c>
      <c r="AP31" s="45">
        <f t="shared" si="16"/>
        <v>9475.5208333333321</v>
      </c>
      <c r="AQ31" s="45">
        <f t="shared" si="16"/>
        <v>9475.5208333333321</v>
      </c>
      <c r="AR31" s="45">
        <f t="shared" si="16"/>
        <v>9475.5208333333321</v>
      </c>
      <c r="AS31" s="45">
        <f t="shared" si="16"/>
        <v>9475.5208333333321</v>
      </c>
      <c r="AT31" s="45">
        <f t="shared" si="16"/>
        <v>9475.5208333333321</v>
      </c>
      <c r="AU31" s="45">
        <f t="shared" si="16"/>
        <v>9475.5208333333321</v>
      </c>
      <c r="AV31" s="45">
        <f t="shared" si="16"/>
        <v>9475.5208333333321</v>
      </c>
      <c r="AW31" s="45">
        <f t="shared" si="16"/>
        <v>9475.5208333333321</v>
      </c>
      <c r="AX31" s="45">
        <f t="shared" si="16"/>
        <v>9475.5208333333321</v>
      </c>
      <c r="AY31" s="45">
        <f t="shared" si="16"/>
        <v>9475.5208333333321</v>
      </c>
      <c r="AZ31" s="45">
        <f t="shared" si="16"/>
        <v>9475.5208333333321</v>
      </c>
      <c r="BA31" s="45">
        <f t="shared" si="16"/>
        <v>9475.5208333333321</v>
      </c>
    </row>
    <row r="32" spans="1:53" ht="12.75" customHeight="1" x14ac:dyDescent="0.25">
      <c r="B32" s="61" t="s">
        <v>49</v>
      </c>
      <c r="C32" s="45">
        <f>'P_L Workings'!C163</f>
        <v>0</v>
      </c>
      <c r="D32" s="45">
        <f>'P_L Workings'!D163</f>
        <v>0</v>
      </c>
      <c r="E32" s="45">
        <f>'P_L Workings'!E163</f>
        <v>16000</v>
      </c>
      <c r="F32" s="45">
        <f>'P_L Workings'!F163</f>
        <v>66285.71428571429</v>
      </c>
      <c r="G32" s="45">
        <f>'P_L Workings'!G163</f>
        <v>70857.142857142855</v>
      </c>
      <c r="H32" s="45">
        <f>'P_L Workings'!H163</f>
        <v>68571.42857142858</v>
      </c>
      <c r="I32" s="45">
        <f>'P_L Workings'!I163</f>
        <v>70857.142857142855</v>
      </c>
      <c r="J32" s="45">
        <f>'P_L Workings'!J163</f>
        <v>70857.142857142855</v>
      </c>
      <c r="K32" s="45">
        <f>'P_L Workings'!K163</f>
        <v>68571.42857142858</v>
      </c>
      <c r="L32" s="45">
        <f>'P_L Workings'!L163</f>
        <v>70857.142857142855</v>
      </c>
      <c r="M32" s="45">
        <f>'P_L Workings'!M163</f>
        <v>66285.71428571429</v>
      </c>
      <c r="N32" s="45">
        <f>'P_L Workings'!N163</f>
        <v>70857.142857142855</v>
      </c>
      <c r="O32" s="45">
        <f>'P_L Workings'!O163</f>
        <v>43428.571428571428</v>
      </c>
      <c r="P32" s="45">
        <f>'P_L Workings'!P163</f>
        <v>61714.285714285717</v>
      </c>
      <c r="Q32" s="45">
        <f>'P_L Workings'!Q163</f>
        <v>70857.142857142855</v>
      </c>
      <c r="R32" s="45">
        <f>'P_L Workings'!R163</f>
        <v>66285.71428571429</v>
      </c>
      <c r="S32" s="45">
        <f>'P_L Workings'!S163</f>
        <v>70857.142857142855</v>
      </c>
      <c r="T32" s="45">
        <f>'P_L Workings'!T163</f>
        <v>68571.42857142858</v>
      </c>
      <c r="U32" s="45">
        <f>'P_L Workings'!U163</f>
        <v>70857.142857142855</v>
      </c>
      <c r="V32" s="45">
        <f>'P_L Workings'!V163</f>
        <v>70857.142857142855</v>
      </c>
      <c r="W32" s="45">
        <f>'P_L Workings'!W163</f>
        <v>68571.42857142858</v>
      </c>
      <c r="X32" s="45">
        <f>'P_L Workings'!X163</f>
        <v>70857.142857142855</v>
      </c>
      <c r="Y32" s="45">
        <f>'P_L Workings'!Y163</f>
        <v>66285.71428571429</v>
      </c>
      <c r="Z32" s="45">
        <f>'P_L Workings'!Z163</f>
        <v>70857.142857142855</v>
      </c>
      <c r="AA32" s="45">
        <f>'P_L Workings'!AA163</f>
        <v>41142.857142857145</v>
      </c>
      <c r="AB32" s="45">
        <f>'P_L Workings'!AB163</f>
        <v>64000</v>
      </c>
      <c r="AC32" s="45">
        <f>'P_L Workings'!AC163</f>
        <v>70857.142857142855</v>
      </c>
      <c r="AD32" s="45">
        <f>'P_L Workings'!AD163</f>
        <v>66285.71428571429</v>
      </c>
      <c r="AE32" s="45">
        <f>'P_L Workings'!AE163</f>
        <v>70857.142857142855</v>
      </c>
      <c r="AF32" s="45">
        <f>'P_L Workings'!AF163</f>
        <v>68571.42857142858</v>
      </c>
      <c r="AG32" s="45">
        <f>'P_L Workings'!AG163</f>
        <v>70857.142857142855</v>
      </c>
      <c r="AH32" s="45">
        <f>'P_L Workings'!AH163</f>
        <v>70857.142857142855</v>
      </c>
      <c r="AI32" s="45">
        <f>'P_L Workings'!AI163</f>
        <v>68571.42857142858</v>
      </c>
      <c r="AJ32" s="45">
        <f>'P_L Workings'!AJ163</f>
        <v>70857.142857142855</v>
      </c>
      <c r="AK32" s="45">
        <f>'P_L Workings'!AK163</f>
        <v>66285.71428571429</v>
      </c>
      <c r="AL32" s="45">
        <f>'P_L Workings'!AL163</f>
        <v>70857.142857142855</v>
      </c>
      <c r="AM32" s="45">
        <f>'P_L Workings'!AM163</f>
        <v>43428.571428571428</v>
      </c>
      <c r="AN32" s="45">
        <f>'P_L Workings'!AN163</f>
        <v>61714.285714285717</v>
      </c>
      <c r="AO32" s="45">
        <f>'P_L Workings'!AO163</f>
        <v>70857.142857142855</v>
      </c>
      <c r="AP32" s="45">
        <f>'P_L Workings'!AP163</f>
        <v>66285.71428571429</v>
      </c>
      <c r="AQ32" s="45">
        <f>'P_L Workings'!AQ163</f>
        <v>70857.142857142855</v>
      </c>
      <c r="AR32" s="45">
        <f>'P_L Workings'!AR163</f>
        <v>68571.42857142858</v>
      </c>
      <c r="AS32" s="45">
        <f>'P_L Workings'!AS163</f>
        <v>70857.142857142855</v>
      </c>
      <c r="AT32" s="45">
        <f>'P_L Workings'!AT163</f>
        <v>70857.142857142855</v>
      </c>
      <c r="AU32" s="45">
        <f>'P_L Workings'!AU163</f>
        <v>68571.42857142858</v>
      </c>
      <c r="AV32" s="45">
        <f>'P_L Workings'!AV163</f>
        <v>70857.142857142855</v>
      </c>
      <c r="AW32" s="45">
        <f>'P_L Workings'!AW163</f>
        <v>66285.71428571429</v>
      </c>
      <c r="AX32" s="45">
        <f>'P_L Workings'!AX163</f>
        <v>70857.142857142855</v>
      </c>
      <c r="AY32" s="45">
        <f>'P_L Workings'!AY163</f>
        <v>43428.571428571428</v>
      </c>
      <c r="AZ32" s="45">
        <f>'P_L Workings'!AZ163</f>
        <v>61714.285714285717</v>
      </c>
      <c r="BA32" s="45">
        <f>'P_L Workings'!BA163</f>
        <v>70857.142857142855</v>
      </c>
    </row>
    <row r="33" spans="1:53" ht="12.75" customHeight="1" x14ac:dyDescent="0.25">
      <c r="B33" s="61" t="s">
        <v>173</v>
      </c>
      <c r="C33" s="45">
        <f>'P_L Workings'!C170-'P_L Workings'!C167</f>
        <v>0</v>
      </c>
      <c r="D33" s="45">
        <f>'P_L Workings'!D170-'P_L Workings'!D167</f>
        <v>0</v>
      </c>
      <c r="E33" s="45">
        <f>'P_L Workings'!E170-'P_L Workings'!E167</f>
        <v>0</v>
      </c>
      <c r="F33" s="45">
        <f>'P_L Workings'!F170-'P_L Workings'!F167</f>
        <v>6583.3333333333321</v>
      </c>
      <c r="G33" s="45">
        <f>'P_L Workings'!G170-'P_L Workings'!G167</f>
        <v>6577.7777777777792</v>
      </c>
      <c r="H33" s="45">
        <f>'P_L Workings'!H170-'P_L Workings'!H167</f>
        <v>6572.3148148148139</v>
      </c>
      <c r="I33" s="45">
        <f>'P_L Workings'!I170-'P_L Workings'!I167</f>
        <v>6566.9429012345699</v>
      </c>
      <c r="J33" s="45">
        <f>'P_L Workings'!J170-'P_L Workings'!J167</f>
        <v>6561.6605195473239</v>
      </c>
      <c r="K33" s="45">
        <f>'P_L Workings'!K170-'P_L Workings'!K167</f>
        <v>6556.4661775548702</v>
      </c>
      <c r="L33" s="45">
        <f>'P_L Workings'!L170-'P_L Workings'!L167</f>
        <v>6551.3584079289558</v>
      </c>
      <c r="M33" s="45">
        <f>'P_L Workings'!M170-'P_L Workings'!M167</f>
        <v>6546.335767796807</v>
      </c>
      <c r="N33" s="45">
        <f>'P_L Workings'!N170-'P_L Workings'!N167</f>
        <v>6541.3968383335268</v>
      </c>
      <c r="O33" s="45">
        <f>'P_L Workings'!O170-'P_L Workings'!O167</f>
        <v>6536.5402243613007</v>
      </c>
      <c r="P33" s="45">
        <f>'P_L Workings'!P170-'P_L Workings'!P167</f>
        <v>6531.7645539552796</v>
      </c>
      <c r="Q33" s="45">
        <f>'P_L Workings'!Q170-'P_L Workings'!Q167</f>
        <v>6527.0684780560241</v>
      </c>
      <c r="R33" s="45">
        <f>'P_L Workings'!R170-'P_L Workings'!R167</f>
        <v>6522.4506700884231</v>
      </c>
      <c r="S33" s="45">
        <f>'P_L Workings'!S170-'P_L Workings'!S167</f>
        <v>6517.9098255869503</v>
      </c>
      <c r="T33" s="45">
        <f>'P_L Workings'!T170-'P_L Workings'!T167</f>
        <v>6513.4446618271677</v>
      </c>
      <c r="U33" s="45">
        <f>'P_L Workings'!U170-'P_L Workings'!U167</f>
        <v>6509.0539174633823</v>
      </c>
      <c r="V33" s="45">
        <f>'P_L Workings'!V170-'P_L Workings'!V167</f>
        <v>6504.7363521723255</v>
      </c>
      <c r="W33" s="45">
        <f>'P_L Workings'!W170-'P_L Workings'!W167</f>
        <v>6500.4907463027857</v>
      </c>
      <c r="X33" s="45">
        <f>'P_L Workings'!X170-'P_L Workings'!X167</f>
        <v>6496.3159005310736</v>
      </c>
      <c r="Y33" s="45">
        <f>'P_L Workings'!Y170-'P_L Workings'!Y167</f>
        <v>6492.2106355222222</v>
      </c>
      <c r="Z33" s="45">
        <f>'P_L Workings'!Z170-'P_L Workings'!Z167</f>
        <v>6488.1737915968524</v>
      </c>
      <c r="AA33" s="45">
        <f>'P_L Workings'!AA170-'P_L Workings'!AA167</f>
        <v>6484.2042284035706</v>
      </c>
      <c r="AB33" s="45">
        <f>'P_L Workings'!AB170-'P_L Workings'!AB167</f>
        <v>6480.3008245968449</v>
      </c>
      <c r="AC33" s="45">
        <f>'P_L Workings'!AC170-'P_L Workings'!AC167</f>
        <v>6476.462477520231</v>
      </c>
      <c r="AD33" s="45">
        <f>'P_L Workings'!AD170-'P_L Workings'!AD167</f>
        <v>6472.6881028948937</v>
      </c>
      <c r="AE33" s="45">
        <f>'P_L Workings'!AE170-'P_L Workings'!AE167</f>
        <v>6468.9766345133121</v>
      </c>
      <c r="AF33" s="45">
        <f>'P_L Workings'!AF170-'P_L Workings'!AF167</f>
        <v>6465.32702393809</v>
      </c>
      <c r="AG33" s="45">
        <f>'P_L Workings'!AG170-'P_L Workings'!AG167</f>
        <v>6461.7382402057883</v>
      </c>
      <c r="AH33" s="45">
        <f>'P_L Workings'!AH170-'P_L Workings'!AH167</f>
        <v>6458.2092695356923</v>
      </c>
      <c r="AI33" s="45">
        <f>'P_L Workings'!AI170-'P_L Workings'!AI167</f>
        <v>6454.7391150434305</v>
      </c>
      <c r="AJ33" s="45">
        <f>'P_L Workings'!AJ170-'P_L Workings'!AJ167</f>
        <v>6451.3267964593733</v>
      </c>
      <c r="AK33" s="45">
        <f>'P_L Workings'!AK170-'P_L Workings'!AK167</f>
        <v>6447.9713498517167</v>
      </c>
      <c r="AL33" s="45">
        <f>'P_L Workings'!AL170-'P_L Workings'!AL167</f>
        <v>6444.6718273541883</v>
      </c>
      <c r="AM33" s="45">
        <f>'P_L Workings'!AM170-'P_L Workings'!AM167</f>
        <v>6441.427296898285</v>
      </c>
      <c r="AN33" s="45">
        <f>'P_L Workings'!AN170-'P_L Workings'!AN167</f>
        <v>6438.2368419499808</v>
      </c>
      <c r="AO33" s="45">
        <f>'P_L Workings'!AO170-'P_L Workings'!AO167</f>
        <v>6435.0995612508141</v>
      </c>
      <c r="AP33" s="45">
        <f>'P_L Workings'!AP170-'P_L Workings'!AP167</f>
        <v>6432.0145685633006</v>
      </c>
      <c r="AQ33" s="45">
        <f>'P_L Workings'!AQ170-'P_L Workings'!AQ167</f>
        <v>6428.9809924205792</v>
      </c>
      <c r="AR33" s="45">
        <f>'P_L Workings'!AR170-'P_L Workings'!AR167</f>
        <v>6425.9979758802356</v>
      </c>
      <c r="AS33" s="45">
        <f>'P_L Workings'!AS170-'P_L Workings'!AS167</f>
        <v>6423.0646762822316</v>
      </c>
      <c r="AT33" s="45">
        <f>'P_L Workings'!AT170-'P_L Workings'!AT167</f>
        <v>6420.1802650108611</v>
      </c>
      <c r="AU33" s="45">
        <f>'P_L Workings'!AU170-'P_L Workings'!AU167</f>
        <v>6417.3439272606802</v>
      </c>
      <c r="AV33" s="45">
        <f>'P_L Workings'!AV170-'P_L Workings'!AV167</f>
        <v>6414.5548618063358</v>
      </c>
      <c r="AW33" s="45">
        <f>'P_L Workings'!AW170-'P_L Workings'!AW167</f>
        <v>6411.8122807762302</v>
      </c>
      <c r="AX33" s="45">
        <f>'P_L Workings'!AX170-'P_L Workings'!AX167</f>
        <v>6409.11540942996</v>
      </c>
      <c r="AY33" s="45">
        <f>'P_L Workings'!AY170-'P_L Workings'!AY167</f>
        <v>6406.46348593946</v>
      </c>
      <c r="AZ33" s="45">
        <f>'P_L Workings'!AZ170-'P_L Workings'!AZ167</f>
        <v>6403.8557611738024</v>
      </c>
      <c r="BA33" s="45">
        <f>'P_L Workings'!BA170-'P_L Workings'!BA167</f>
        <v>6401.2914984875724</v>
      </c>
    </row>
    <row r="34" spans="1:53" ht="12.75" customHeight="1" x14ac:dyDescent="0.25">
      <c r="B34" s="61" t="s">
        <v>174</v>
      </c>
      <c r="C34" s="25">
        <f>'Bal Sheet Workings'!C10</f>
        <v>0</v>
      </c>
      <c r="D34" s="25">
        <f>'Bal Sheet Workings'!D10</f>
        <v>0</v>
      </c>
      <c r="E34" s="25">
        <f>'Bal Sheet Workings'!E10</f>
        <v>0</v>
      </c>
      <c r="F34" s="25">
        <f>'Bal Sheet Workings'!F10</f>
        <v>-333.33333333333331</v>
      </c>
      <c r="G34" s="25">
        <f>'Bal Sheet Workings'!G10</f>
        <v>-327.77777777777783</v>
      </c>
      <c r="H34" s="25">
        <f>'Bal Sheet Workings'!H10</f>
        <v>-322.31481481481484</v>
      </c>
      <c r="I34" s="25">
        <f>'Bal Sheet Workings'!I10</f>
        <v>-316.94290123456796</v>
      </c>
      <c r="J34" s="25">
        <f>'Bal Sheet Workings'!J10</f>
        <v>-311.66051954732512</v>
      </c>
      <c r="K34" s="25">
        <f>'Bal Sheet Workings'!K10</f>
        <v>-306.46617755486977</v>
      </c>
      <c r="L34" s="25">
        <f>'Bal Sheet Workings'!L10</f>
        <v>-301.35840792895527</v>
      </c>
      <c r="M34" s="25">
        <f>'Bal Sheet Workings'!M10</f>
        <v>-296.33576779680601</v>
      </c>
      <c r="N34" s="25">
        <f>'Bal Sheet Workings'!N10</f>
        <v>-291.39683833352592</v>
      </c>
      <c r="O34" s="25">
        <f>'Bal Sheet Workings'!O10</f>
        <v>-286.54022436130049</v>
      </c>
      <c r="P34" s="25">
        <f>'Bal Sheet Workings'!P10</f>
        <v>-281.76455395527881</v>
      </c>
      <c r="Q34" s="25">
        <f>'Bal Sheet Workings'!Q10</f>
        <v>-277.06847805602416</v>
      </c>
      <c r="R34" s="25">
        <f>'Bal Sheet Workings'!R10</f>
        <v>-272.45067008842381</v>
      </c>
      <c r="S34" s="25">
        <f>'Bal Sheet Workings'!S10</f>
        <v>-267.90982558695003</v>
      </c>
      <c r="T34" s="25">
        <f>'Bal Sheet Workings'!T10</f>
        <v>-263.44466182716752</v>
      </c>
      <c r="U34" s="25">
        <f>'Bal Sheet Workings'!U10</f>
        <v>-259.05391746338142</v>
      </c>
      <c r="V34" s="25">
        <f>'Bal Sheet Workings'!V10</f>
        <v>-254.73635217232507</v>
      </c>
      <c r="W34" s="25">
        <f>'Bal Sheet Workings'!W10</f>
        <v>-250.49074630278633</v>
      </c>
      <c r="X34" s="25">
        <f>'Bal Sheet Workings'!X10</f>
        <v>-246.31590053107323</v>
      </c>
      <c r="Y34" s="25">
        <f>'Bal Sheet Workings'!Y10</f>
        <v>-242.21063552222199</v>
      </c>
      <c r="Z34" s="25">
        <f>'Bal Sheet Workings'!Z10</f>
        <v>-238.17379159685163</v>
      </c>
      <c r="AA34" s="25">
        <f>'Bal Sheet Workings'!AA10</f>
        <v>-234.20422840357074</v>
      </c>
      <c r="AB34" s="25">
        <f>'Bal Sheet Workings'!AB10</f>
        <v>-230.30082459684459</v>
      </c>
      <c r="AC34" s="25">
        <f>'Bal Sheet Workings'!AC10</f>
        <v>-226.46247752023052</v>
      </c>
      <c r="AD34" s="25">
        <f>'Bal Sheet Workings'!AD10</f>
        <v>-222.68810289489332</v>
      </c>
      <c r="AE34" s="25">
        <f>'Bal Sheet Workings'!AE10</f>
        <v>-218.97663451331178</v>
      </c>
      <c r="AF34" s="25">
        <f>'Bal Sheet Workings'!AF10</f>
        <v>-215.32702393808992</v>
      </c>
      <c r="AG34" s="25">
        <f>'Bal Sheet Workings'!AG10</f>
        <v>-211.73824020578843</v>
      </c>
      <c r="AH34" s="25">
        <f>'Bal Sheet Workings'!AH10</f>
        <v>-208.20926953569196</v>
      </c>
      <c r="AI34" s="25">
        <f>'Bal Sheet Workings'!AI10</f>
        <v>-204.73911504343042</v>
      </c>
      <c r="AJ34" s="25">
        <f>'Bal Sheet Workings'!AJ10</f>
        <v>-201.32679645937324</v>
      </c>
      <c r="AK34" s="25">
        <f>'Bal Sheet Workings'!AK10</f>
        <v>-197.97134985171704</v>
      </c>
      <c r="AL34" s="25">
        <f>'Bal Sheet Workings'!AL10</f>
        <v>-194.67182735418839</v>
      </c>
      <c r="AM34" s="25">
        <f>'Bal Sheet Workings'!AM10</f>
        <v>-191.42729689828528</v>
      </c>
      <c r="AN34" s="25">
        <f>'Bal Sheet Workings'!AN10</f>
        <v>-188.23684194998052</v>
      </c>
      <c r="AO34" s="25">
        <f>'Bal Sheet Workings'!AO10</f>
        <v>-185.09956125081419</v>
      </c>
      <c r="AP34" s="25">
        <f>'Bal Sheet Workings'!AP10</f>
        <v>-182.0145685633006</v>
      </c>
      <c r="AQ34" s="25">
        <f>'Bal Sheet Workings'!AQ10</f>
        <v>-178.98099242057893</v>
      </c>
      <c r="AR34" s="25">
        <f>'Bal Sheet Workings'!AR10</f>
        <v>-175.997975880236</v>
      </c>
      <c r="AS34" s="25">
        <f>'Bal Sheet Workings'!AS10</f>
        <v>-173.06467628223206</v>
      </c>
      <c r="AT34" s="25">
        <f>'Bal Sheet Workings'!AT10</f>
        <v>-170.18026501086149</v>
      </c>
      <c r="AU34" s="25">
        <f>'Bal Sheet Workings'!AU10</f>
        <v>-167.34392726068046</v>
      </c>
      <c r="AV34" s="25">
        <f>'Bal Sheet Workings'!AV10</f>
        <v>-164.55486180633577</v>
      </c>
      <c r="AW34" s="25">
        <f>'Bal Sheet Workings'!AW10</f>
        <v>-161.81228077623018</v>
      </c>
      <c r="AX34" s="25">
        <f>'Bal Sheet Workings'!AX10</f>
        <v>-159.11540942995967</v>
      </c>
      <c r="AY34" s="25">
        <f>'Bal Sheet Workings'!AY10</f>
        <v>-156.46348593946036</v>
      </c>
      <c r="AZ34" s="25">
        <f>'Bal Sheet Workings'!AZ10</f>
        <v>-153.85576117380268</v>
      </c>
      <c r="BA34" s="25">
        <f>'Bal Sheet Workings'!BA10</f>
        <v>-151.29149848757262</v>
      </c>
    </row>
    <row r="35" spans="1:53" ht="12.75" customHeight="1" x14ac:dyDescent="0.25">
      <c r="B35" s="61" t="s">
        <v>175</v>
      </c>
      <c r="C35" s="45"/>
      <c r="D35" s="45"/>
      <c r="E35" s="45">
        <v>300000</v>
      </c>
      <c r="F35" s="25">
        <v>0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</row>
    <row r="36" spans="1:53" ht="12.75" customHeight="1" x14ac:dyDescent="0.25">
      <c r="B36" s="61" t="s">
        <v>176</v>
      </c>
      <c r="C36" s="64">
        <f>C35*0.175</f>
        <v>0</v>
      </c>
      <c r="D36" s="64">
        <f>D35*0.175</f>
        <v>0</v>
      </c>
      <c r="E36" s="64">
        <f>D35*0.175</f>
        <v>0</v>
      </c>
      <c r="F36" s="64">
        <f>E35*0.175</f>
        <v>52500</v>
      </c>
      <c r="G36" s="64">
        <f t="shared" ref="G36:BA36" si="17">G35*0.175</f>
        <v>0</v>
      </c>
      <c r="H36" s="64">
        <f t="shared" si="17"/>
        <v>0</v>
      </c>
      <c r="I36" s="64">
        <f t="shared" si="17"/>
        <v>0</v>
      </c>
      <c r="J36" s="64">
        <f t="shared" si="17"/>
        <v>0</v>
      </c>
      <c r="K36" s="64">
        <f t="shared" si="17"/>
        <v>0</v>
      </c>
      <c r="L36" s="64">
        <f t="shared" si="17"/>
        <v>0</v>
      </c>
      <c r="M36" s="64">
        <f t="shared" si="17"/>
        <v>0</v>
      </c>
      <c r="N36" s="64">
        <f t="shared" si="17"/>
        <v>0</v>
      </c>
      <c r="O36" s="64">
        <f t="shared" si="17"/>
        <v>0</v>
      </c>
      <c r="P36" s="64">
        <f t="shared" si="17"/>
        <v>0</v>
      </c>
      <c r="Q36" s="64">
        <f t="shared" si="17"/>
        <v>0</v>
      </c>
      <c r="R36" s="64">
        <f t="shared" si="17"/>
        <v>0</v>
      </c>
      <c r="S36" s="64">
        <f t="shared" si="17"/>
        <v>0</v>
      </c>
      <c r="T36" s="64">
        <f t="shared" si="17"/>
        <v>0</v>
      </c>
      <c r="U36" s="64">
        <f t="shared" si="17"/>
        <v>0</v>
      </c>
      <c r="V36" s="64">
        <f t="shared" si="17"/>
        <v>0</v>
      </c>
      <c r="W36" s="64">
        <f t="shared" si="17"/>
        <v>0</v>
      </c>
      <c r="X36" s="64">
        <f t="shared" si="17"/>
        <v>0</v>
      </c>
      <c r="Y36" s="64">
        <f t="shared" si="17"/>
        <v>0</v>
      </c>
      <c r="Z36" s="64">
        <f t="shared" si="17"/>
        <v>0</v>
      </c>
      <c r="AA36" s="64">
        <f t="shared" si="17"/>
        <v>0</v>
      </c>
      <c r="AB36" s="64">
        <f t="shared" si="17"/>
        <v>0</v>
      </c>
      <c r="AC36" s="64">
        <f t="shared" si="17"/>
        <v>0</v>
      </c>
      <c r="AD36" s="64">
        <f t="shared" si="17"/>
        <v>0</v>
      </c>
      <c r="AE36" s="64">
        <f t="shared" si="17"/>
        <v>0</v>
      </c>
      <c r="AF36" s="64">
        <f t="shared" si="17"/>
        <v>0</v>
      </c>
      <c r="AG36" s="64">
        <f t="shared" si="17"/>
        <v>0</v>
      </c>
      <c r="AH36" s="64">
        <f t="shared" si="17"/>
        <v>0</v>
      </c>
      <c r="AI36" s="64">
        <f t="shared" si="17"/>
        <v>0</v>
      </c>
      <c r="AJ36" s="64">
        <f t="shared" si="17"/>
        <v>0</v>
      </c>
      <c r="AK36" s="64">
        <f t="shared" si="17"/>
        <v>0</v>
      </c>
      <c r="AL36" s="64">
        <f t="shared" si="17"/>
        <v>0</v>
      </c>
      <c r="AM36" s="64">
        <f t="shared" si="17"/>
        <v>0</v>
      </c>
      <c r="AN36" s="64">
        <f t="shared" si="17"/>
        <v>0</v>
      </c>
      <c r="AO36" s="64">
        <f t="shared" si="17"/>
        <v>0</v>
      </c>
      <c r="AP36" s="64">
        <f t="shared" si="17"/>
        <v>0</v>
      </c>
      <c r="AQ36" s="64">
        <f t="shared" si="17"/>
        <v>0</v>
      </c>
      <c r="AR36" s="64">
        <f t="shared" si="17"/>
        <v>0</v>
      </c>
      <c r="AS36" s="64">
        <f t="shared" si="17"/>
        <v>0</v>
      </c>
      <c r="AT36" s="64">
        <f t="shared" si="17"/>
        <v>0</v>
      </c>
      <c r="AU36" s="64">
        <f t="shared" si="17"/>
        <v>0</v>
      </c>
      <c r="AV36" s="64">
        <f t="shared" si="17"/>
        <v>0</v>
      </c>
      <c r="AW36" s="64">
        <f t="shared" si="17"/>
        <v>0</v>
      </c>
      <c r="AX36" s="64">
        <f t="shared" si="17"/>
        <v>0</v>
      </c>
      <c r="AY36" s="64">
        <f t="shared" si="17"/>
        <v>0</v>
      </c>
      <c r="AZ36" s="64">
        <f t="shared" si="17"/>
        <v>0</v>
      </c>
      <c r="BA36" s="64">
        <f t="shared" si="17"/>
        <v>0</v>
      </c>
    </row>
    <row r="37" spans="1:53" ht="12.75" customHeight="1" x14ac:dyDescent="0.3">
      <c r="B37" s="61"/>
      <c r="C37" s="66">
        <f t="shared" ref="C37:AH37" si="18">SUM(C21:C36)</f>
        <v>0</v>
      </c>
      <c r="D37" s="66">
        <f t="shared" si="18"/>
        <v>0</v>
      </c>
      <c r="E37" s="66">
        <f t="shared" si="18"/>
        <v>1390739.1506007325</v>
      </c>
      <c r="F37" s="66">
        <f t="shared" si="18"/>
        <v>1605653.7668333333</v>
      </c>
      <c r="G37" s="66">
        <f t="shared" si="18"/>
        <v>1613186.1148333331</v>
      </c>
      <c r="H37" s="66">
        <f t="shared" si="18"/>
        <v>1583169.9408333329</v>
      </c>
      <c r="I37" s="66">
        <f t="shared" si="18"/>
        <v>1613186.1148333331</v>
      </c>
      <c r="J37" s="66">
        <f t="shared" si="18"/>
        <v>1613186.1148333331</v>
      </c>
      <c r="K37" s="66">
        <f t="shared" si="18"/>
        <v>1583169.9408333329</v>
      </c>
      <c r="L37" s="66">
        <f t="shared" si="18"/>
        <v>1613186.1148333331</v>
      </c>
      <c r="M37" s="66">
        <f t="shared" si="18"/>
        <v>1553153.7668333333</v>
      </c>
      <c r="N37" s="66">
        <f t="shared" si="18"/>
        <v>1613186.1148333331</v>
      </c>
      <c r="O37" s="66">
        <f t="shared" si="18"/>
        <v>1252992.0268333331</v>
      </c>
      <c r="P37" s="66">
        <f t="shared" si="18"/>
        <v>1493121.4188333333</v>
      </c>
      <c r="Q37" s="66">
        <f t="shared" si="18"/>
        <v>1613186.1148333331</v>
      </c>
      <c r="R37" s="66">
        <f t="shared" si="18"/>
        <v>1553153.7668333333</v>
      </c>
      <c r="S37" s="66">
        <f t="shared" si="18"/>
        <v>1613186.1148333331</v>
      </c>
      <c r="T37" s="66">
        <f t="shared" si="18"/>
        <v>1583169.9408333329</v>
      </c>
      <c r="U37" s="66">
        <f t="shared" si="18"/>
        <v>1613186.1148333331</v>
      </c>
      <c r="V37" s="66">
        <f t="shared" si="18"/>
        <v>1613186.1148333331</v>
      </c>
      <c r="W37" s="66">
        <f t="shared" si="18"/>
        <v>1583169.9408333329</v>
      </c>
      <c r="X37" s="66">
        <f t="shared" si="18"/>
        <v>1613186.1148333331</v>
      </c>
      <c r="Y37" s="66">
        <f t="shared" si="18"/>
        <v>1553153.7668333333</v>
      </c>
      <c r="Z37" s="66">
        <f t="shared" si="18"/>
        <v>1613186.1148333331</v>
      </c>
      <c r="AA37" s="66">
        <f t="shared" si="18"/>
        <v>1222975.8528333332</v>
      </c>
      <c r="AB37" s="66">
        <f t="shared" si="18"/>
        <v>1523137.5928333332</v>
      </c>
      <c r="AC37" s="66">
        <f t="shared" si="18"/>
        <v>1613186.1148333331</v>
      </c>
      <c r="AD37" s="66">
        <f t="shared" si="18"/>
        <v>1553153.7668333333</v>
      </c>
      <c r="AE37" s="66">
        <f t="shared" si="18"/>
        <v>1613186.1148333331</v>
      </c>
      <c r="AF37" s="66">
        <f t="shared" si="18"/>
        <v>1583169.9408333329</v>
      </c>
      <c r="AG37" s="66">
        <f t="shared" si="18"/>
        <v>1613186.1148333331</v>
      </c>
      <c r="AH37" s="66">
        <f t="shared" si="18"/>
        <v>1613186.1148333331</v>
      </c>
      <c r="AI37" s="66">
        <f t="shared" ref="AI37:BA37" si="19">SUM(AI21:AI36)</f>
        <v>1583169.9408333329</v>
      </c>
      <c r="AJ37" s="66">
        <f t="shared" si="19"/>
        <v>1613186.1148333331</v>
      </c>
      <c r="AK37" s="66">
        <f t="shared" si="19"/>
        <v>1553153.7668333333</v>
      </c>
      <c r="AL37" s="66">
        <f t="shared" si="19"/>
        <v>1613186.1148333331</v>
      </c>
      <c r="AM37" s="66">
        <f t="shared" si="19"/>
        <v>1252992.0268333331</v>
      </c>
      <c r="AN37" s="66">
        <f t="shared" si="19"/>
        <v>1493121.4188333333</v>
      </c>
      <c r="AO37" s="66">
        <f t="shared" si="19"/>
        <v>1613186.1148333331</v>
      </c>
      <c r="AP37" s="66">
        <f t="shared" si="19"/>
        <v>1553153.7668333333</v>
      </c>
      <c r="AQ37" s="66">
        <f t="shared" si="19"/>
        <v>1613186.1148333331</v>
      </c>
      <c r="AR37" s="66">
        <f t="shared" si="19"/>
        <v>1583169.9408333329</v>
      </c>
      <c r="AS37" s="66">
        <f t="shared" si="19"/>
        <v>1613186.1148333331</v>
      </c>
      <c r="AT37" s="66">
        <f t="shared" si="19"/>
        <v>1613186.1148333331</v>
      </c>
      <c r="AU37" s="66">
        <f t="shared" si="19"/>
        <v>1583169.9408333329</v>
      </c>
      <c r="AV37" s="66">
        <f t="shared" si="19"/>
        <v>1613186.1148333331</v>
      </c>
      <c r="AW37" s="66">
        <f t="shared" si="19"/>
        <v>1553153.7668333333</v>
      </c>
      <c r="AX37" s="66">
        <f t="shared" si="19"/>
        <v>1613186.1148333331</v>
      </c>
      <c r="AY37" s="66">
        <f t="shared" si="19"/>
        <v>1252992.0268333331</v>
      </c>
      <c r="AZ37" s="66">
        <f t="shared" si="19"/>
        <v>1493121.4188333333</v>
      </c>
      <c r="BA37" s="66">
        <f t="shared" si="19"/>
        <v>1613186.1148333331</v>
      </c>
    </row>
    <row r="38" spans="1:53" ht="12.75" customHeight="1" x14ac:dyDescent="0.25">
      <c r="B38" s="61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</row>
    <row r="39" spans="1:53" ht="12.75" customHeight="1" x14ac:dyDescent="0.25">
      <c r="B39" s="61" t="s">
        <v>177</v>
      </c>
      <c r="C39" s="45">
        <f>'Bal Sheet Workings'!C9</f>
        <v>0</v>
      </c>
      <c r="D39" s="45">
        <f>-'Bal Sheet Workings'!D9</f>
        <v>0</v>
      </c>
      <c r="E39" s="45">
        <f>-'Bal Sheet Workings'!E9</f>
        <v>0</v>
      </c>
      <c r="F39" s="45">
        <f>'Bal Sheet Workings'!F9</f>
        <v>20000</v>
      </c>
      <c r="G39" s="45">
        <f>'Bal Sheet Workings'!G9</f>
        <v>0</v>
      </c>
      <c r="H39" s="45">
        <f>'Bal Sheet Workings'!H9</f>
        <v>0</v>
      </c>
      <c r="I39" s="45">
        <f>'Bal Sheet Workings'!I9</f>
        <v>0</v>
      </c>
      <c r="J39" s="45">
        <f>'Bal Sheet Workings'!J9</f>
        <v>0</v>
      </c>
      <c r="K39" s="45">
        <f>'Bal Sheet Workings'!K9</f>
        <v>0</v>
      </c>
      <c r="L39" s="45">
        <f>'Bal Sheet Workings'!L9</f>
        <v>0</v>
      </c>
      <c r="M39" s="45">
        <f>'Bal Sheet Workings'!M9</f>
        <v>0</v>
      </c>
      <c r="N39" s="45">
        <f>'Bal Sheet Workings'!N9</f>
        <v>0</v>
      </c>
      <c r="O39" s="45">
        <f>'Bal Sheet Workings'!O9</f>
        <v>0</v>
      </c>
      <c r="P39" s="45">
        <f>'Bal Sheet Workings'!P9</f>
        <v>0</v>
      </c>
      <c r="Q39" s="45">
        <f>'Bal Sheet Workings'!Q9</f>
        <v>0</v>
      </c>
      <c r="R39" s="45">
        <f>'Bal Sheet Workings'!R9</f>
        <v>0</v>
      </c>
      <c r="S39" s="45">
        <f>'Bal Sheet Workings'!S9</f>
        <v>0</v>
      </c>
      <c r="T39" s="45">
        <f>'Bal Sheet Workings'!T9</f>
        <v>0</v>
      </c>
      <c r="U39" s="45">
        <f>'Bal Sheet Workings'!U9</f>
        <v>0</v>
      </c>
      <c r="V39" s="45">
        <f>'Bal Sheet Workings'!V9</f>
        <v>0</v>
      </c>
      <c r="W39" s="45">
        <f>'Bal Sheet Workings'!W9</f>
        <v>0</v>
      </c>
      <c r="X39" s="45">
        <f>'Bal Sheet Workings'!X9</f>
        <v>0</v>
      </c>
      <c r="Y39" s="45">
        <f>'Bal Sheet Workings'!Y9</f>
        <v>0</v>
      </c>
      <c r="Z39" s="45">
        <f>'Bal Sheet Workings'!Z9</f>
        <v>0</v>
      </c>
      <c r="AA39" s="45">
        <f>'Bal Sheet Workings'!AA9</f>
        <v>0</v>
      </c>
      <c r="AB39" s="45">
        <f>'Bal Sheet Workings'!AB9</f>
        <v>0</v>
      </c>
      <c r="AC39" s="45">
        <f>'Bal Sheet Workings'!AC9</f>
        <v>0</v>
      </c>
      <c r="AD39" s="45">
        <f>'Bal Sheet Workings'!AD9</f>
        <v>0</v>
      </c>
      <c r="AE39" s="45">
        <f>'Bal Sheet Workings'!AE9</f>
        <v>0</v>
      </c>
      <c r="AF39" s="45">
        <f>'Bal Sheet Workings'!AF9</f>
        <v>0</v>
      </c>
      <c r="AG39" s="45">
        <f>'Bal Sheet Workings'!AG9</f>
        <v>0</v>
      </c>
      <c r="AH39" s="45">
        <f>'Bal Sheet Workings'!AH9</f>
        <v>0</v>
      </c>
      <c r="AI39" s="45">
        <f>'Bal Sheet Workings'!AI9</f>
        <v>0</v>
      </c>
      <c r="AJ39" s="45">
        <f>'Bal Sheet Workings'!AJ9</f>
        <v>0</v>
      </c>
      <c r="AK39" s="45">
        <f>'Bal Sheet Workings'!AK9</f>
        <v>0</v>
      </c>
      <c r="AL39" s="45">
        <f>'Bal Sheet Workings'!AL9</f>
        <v>0</v>
      </c>
      <c r="AM39" s="45">
        <f>'Bal Sheet Workings'!AM9</f>
        <v>0</v>
      </c>
      <c r="AN39" s="45">
        <f>'Bal Sheet Workings'!AN9</f>
        <v>0</v>
      </c>
      <c r="AO39" s="45">
        <f>'Bal Sheet Workings'!AO9</f>
        <v>0</v>
      </c>
      <c r="AP39" s="45">
        <f>'Bal Sheet Workings'!AP9</f>
        <v>0</v>
      </c>
      <c r="AQ39" s="45">
        <f>'Bal Sheet Workings'!AQ9</f>
        <v>0</v>
      </c>
      <c r="AR39" s="45">
        <f>'Bal Sheet Workings'!AR9</f>
        <v>0</v>
      </c>
      <c r="AS39" s="45">
        <f>'Bal Sheet Workings'!AS9</f>
        <v>0</v>
      </c>
      <c r="AT39" s="45">
        <f>'Bal Sheet Workings'!AT9</f>
        <v>0</v>
      </c>
      <c r="AU39" s="45">
        <f>'Bal Sheet Workings'!AU9</f>
        <v>0</v>
      </c>
      <c r="AV39" s="45">
        <f>'Bal Sheet Workings'!AV9</f>
        <v>0</v>
      </c>
      <c r="AW39" s="45">
        <f>'Bal Sheet Workings'!AW9</f>
        <v>0</v>
      </c>
      <c r="AX39" s="45">
        <f>'Bal Sheet Workings'!AX9</f>
        <v>0</v>
      </c>
      <c r="AY39" s="45">
        <f>'Bal Sheet Workings'!AY9</f>
        <v>0</v>
      </c>
      <c r="AZ39" s="45">
        <f>'Bal Sheet Workings'!AZ9</f>
        <v>0</v>
      </c>
      <c r="BA39" s="45">
        <f>'Bal Sheet Workings'!BA9</f>
        <v>0</v>
      </c>
    </row>
    <row r="40" spans="1:53" ht="12.75" customHeight="1" x14ac:dyDescent="0.25">
      <c r="B40" s="61" t="s">
        <v>178</v>
      </c>
      <c r="F40" s="25">
        <f>-E61</f>
        <v>0</v>
      </c>
      <c r="I40" s="25">
        <f>-F61</f>
        <v>0</v>
      </c>
      <c r="L40" s="25">
        <f>-G61</f>
        <v>0</v>
      </c>
      <c r="O40" s="25">
        <f>-I61</f>
        <v>0</v>
      </c>
      <c r="R40" s="25">
        <f>-E62</f>
        <v>0</v>
      </c>
      <c r="U40" s="25">
        <f>-F62</f>
        <v>0</v>
      </c>
      <c r="X40" s="25">
        <f>-G62</f>
        <v>-35958.838163989312</v>
      </c>
      <c r="Z40" s="25">
        <f>-H62</f>
        <v>182615.72938461541</v>
      </c>
      <c r="AA40" s="25">
        <f>-I62</f>
        <v>-35958.838163989312</v>
      </c>
      <c r="AD40" s="25">
        <f>-E63</f>
        <v>-35958.838163989312</v>
      </c>
      <c r="AG40" s="25">
        <f>-F63</f>
        <v>-35958.838163989312</v>
      </c>
      <c r="AJ40" s="25">
        <f>-G63</f>
        <v>-125520.60026673059</v>
      </c>
      <c r="AM40" s="25">
        <f>-I63</f>
        <v>-125520.60026673059</v>
      </c>
      <c r="AP40" s="25">
        <f>-E64</f>
        <v>-125520.60026673059</v>
      </c>
      <c r="AS40" s="25">
        <f>-F64</f>
        <v>-125520.60026673059</v>
      </c>
      <c r="AV40" s="25">
        <f>-G64</f>
        <v>-209262.86872050789</v>
      </c>
      <c r="AY40" s="25">
        <f>-I64</f>
        <v>-209262.86872050789</v>
      </c>
    </row>
    <row r="41" spans="1:53" ht="12.75" customHeight="1" x14ac:dyDescent="0.25">
      <c r="B41" s="61" t="s">
        <v>179</v>
      </c>
      <c r="C41" s="25">
        <v>0</v>
      </c>
      <c r="D41" s="25">
        <v>0</v>
      </c>
      <c r="E41" s="25">
        <v>0</v>
      </c>
      <c r="F41" s="25">
        <f>'Loan _Int_'!H27+'Loan _Int_ _2_'!H27</f>
        <v>112498.98162906134</v>
      </c>
      <c r="G41" s="25">
        <f>'Loan _Int_'!H28+'Loan _Int_ _2_'!H28</f>
        <v>112498.98162906134</v>
      </c>
      <c r="H41" s="25">
        <f>'Loan _Int_'!H29+'Loan _Int_ _2_'!H29</f>
        <v>375101.86162906134</v>
      </c>
      <c r="I41" s="25">
        <f>'Loan _Int_'!H30</f>
        <v>112498.98162906134</v>
      </c>
      <c r="J41" s="25">
        <f>'Loan _Int_'!H31</f>
        <v>112498.98162906134</v>
      </c>
      <c r="K41" s="25">
        <f>'Loan _Int_'!H32</f>
        <v>112498.98162906134</v>
      </c>
      <c r="L41" s="25">
        <f>'Loan _Int_'!H33</f>
        <v>112498.98162906134</v>
      </c>
      <c r="M41" s="25">
        <f>'Loan _Int_'!H34</f>
        <v>112498.98162906134</v>
      </c>
      <c r="N41" s="25">
        <f>'Loan _Int_'!H35</f>
        <v>112498.98162906134</v>
      </c>
      <c r="O41" s="25">
        <f>'Loan _Int_'!H36</f>
        <v>112498.98162906134</v>
      </c>
      <c r="P41" s="25">
        <f>'Loan _Int_'!H37</f>
        <v>112498.98162906134</v>
      </c>
      <c r="Q41" s="25">
        <f>'Loan _Int_'!H38</f>
        <v>112498.98162906134</v>
      </c>
      <c r="R41" s="25">
        <f>'Loan _Int_'!H39</f>
        <v>112498.98162906134</v>
      </c>
      <c r="S41" s="25">
        <f>'Loan _Int_'!H40</f>
        <v>112498.98162906134</v>
      </c>
      <c r="T41" s="25">
        <f>'Loan _Int_'!H41</f>
        <v>112498.98162906134</v>
      </c>
      <c r="U41" s="25">
        <f>'Loan _Int_'!H42</f>
        <v>112498.98162906134</v>
      </c>
      <c r="V41" s="25">
        <f>'Loan _Int_'!H43</f>
        <v>112498.98162906134</v>
      </c>
      <c r="W41" s="25">
        <f>'Loan _Int_'!H44</f>
        <v>112498.98162906134</v>
      </c>
      <c r="X41" s="25">
        <f>'Loan _Int_'!H45</f>
        <v>112498.98162906134</v>
      </c>
      <c r="Y41" s="25">
        <f>'Loan _Int_'!H46</f>
        <v>112498.98162906134</v>
      </c>
      <c r="Z41" s="25">
        <f>'Loan _Int_'!H47</f>
        <v>112498.98162906134</v>
      </c>
      <c r="AA41" s="25">
        <f>'Loan _Int_'!H48</f>
        <v>112498.98162906134</v>
      </c>
      <c r="AB41" s="25">
        <f>'Loan _Int_'!H49</f>
        <v>112498.98162906134</v>
      </c>
      <c r="AC41" s="25">
        <f>'Loan _Int_'!H50</f>
        <v>112498.98162906134</v>
      </c>
      <c r="AD41" s="25">
        <f>'Loan _Int_'!H51</f>
        <v>0</v>
      </c>
      <c r="AE41" s="25">
        <f>'Loan _Int_'!H52</f>
        <v>0</v>
      </c>
      <c r="AF41" s="25">
        <f>'Loan _Int_'!H53</f>
        <v>0</v>
      </c>
      <c r="AG41" s="25">
        <f>'Loan _Int_'!H54</f>
        <v>0</v>
      </c>
      <c r="AH41" s="25">
        <f>'Loan _Int_'!H55</f>
        <v>0</v>
      </c>
      <c r="AI41" s="25">
        <f>'Loan _Int_'!H56</f>
        <v>0</v>
      </c>
      <c r="AJ41" s="25">
        <f>'Loan _Int_'!H57</f>
        <v>0</v>
      </c>
      <c r="AK41" s="25">
        <f>'Loan _Int_'!H58</f>
        <v>0</v>
      </c>
      <c r="AL41" s="25">
        <f>'Loan _Int_'!H59</f>
        <v>0</v>
      </c>
      <c r="AM41" s="25">
        <f>'Loan _Int_'!H60</f>
        <v>0</v>
      </c>
      <c r="AN41" s="25">
        <f>'Loan _Int_'!H61</f>
        <v>0</v>
      </c>
      <c r="AO41" s="25">
        <f>'Loan _Int_'!H62</f>
        <v>0</v>
      </c>
      <c r="AP41" s="25">
        <f>'Loan _Int_'!H63</f>
        <v>0</v>
      </c>
      <c r="AQ41" s="25">
        <f>'Loan _Int_'!H64</f>
        <v>0</v>
      </c>
      <c r="AR41" s="25">
        <f>'Loan _Int_'!H65</f>
        <v>0</v>
      </c>
    </row>
    <row r="42" spans="1:53" ht="12.75" customHeight="1" x14ac:dyDescent="0.25">
      <c r="B42" s="61" t="s">
        <v>180</v>
      </c>
      <c r="F42" s="25">
        <f>SUM(C55:E55)</f>
        <v>-82373.659794871812</v>
      </c>
      <c r="I42" s="25">
        <f>SUM(F55:H55)</f>
        <v>308418.53124999994</v>
      </c>
      <c r="L42" s="25">
        <f>SUM(I55:K55)</f>
        <v>422664.55074999994</v>
      </c>
      <c r="O42" s="25">
        <f>SUM(L55:N55)</f>
        <v>355171.37209999992</v>
      </c>
      <c r="R42" s="25">
        <f>SUM(O55:Q55)</f>
        <v>264739.14524999994</v>
      </c>
      <c r="U42" s="25">
        <f>SUM(R55:T55)</f>
        <v>409030.08250000002</v>
      </c>
      <c r="X42" s="25">
        <f>SUM(U55:W55)</f>
        <v>480003.17299999995</v>
      </c>
      <c r="AA42" s="25">
        <f>SUM(X55:Z55)</f>
        <v>401363.7855</v>
      </c>
      <c r="AD42" s="25">
        <f>SUM(AA55:AC55)</f>
        <v>304297.16374999995</v>
      </c>
      <c r="AG42" s="25">
        <f>SUM(AD55:AF55)</f>
        <v>464902.52499999991</v>
      </c>
      <c r="AJ42" s="25">
        <f>SUM(AG55:AI55)</f>
        <v>527406.04424999992</v>
      </c>
      <c r="AM42" s="25">
        <f>SUM(AJ55:AL55)</f>
        <v>446339.27549999999</v>
      </c>
      <c r="AP42" s="25">
        <f>SUM(AM55:AO55)</f>
        <v>342025.479375</v>
      </c>
      <c r="AS42" s="25">
        <f>SUM(AP55:AR55)</f>
        <v>500762.26762499986</v>
      </c>
      <c r="AV42" s="25">
        <f>SUM(AS55:AU55)</f>
        <v>559925.9879999999</v>
      </c>
      <c r="AY42" s="25">
        <f>SUM(AV55:AX55)</f>
        <v>478555.46737499989</v>
      </c>
    </row>
    <row r="43" spans="1:53" ht="12.75" customHeight="1" x14ac:dyDescent="0.25">
      <c r="B43" s="61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</row>
    <row r="44" spans="1:53" s="2" customFormat="1" ht="12.75" customHeight="1" x14ac:dyDescent="0.3">
      <c r="B44" s="16"/>
      <c r="C44" s="67">
        <f t="shared" ref="C44:AH44" si="20">SUM(C37:C43)</f>
        <v>0</v>
      </c>
      <c r="D44" s="67">
        <f t="shared" si="20"/>
        <v>0</v>
      </c>
      <c r="E44" s="67">
        <f t="shared" si="20"/>
        <v>1390739.1506007325</v>
      </c>
      <c r="F44" s="67">
        <f t="shared" si="20"/>
        <v>1655779.0886675227</v>
      </c>
      <c r="G44" s="67">
        <f t="shared" si="20"/>
        <v>1725685.0964623943</v>
      </c>
      <c r="H44" s="67">
        <f t="shared" si="20"/>
        <v>1958271.8024623943</v>
      </c>
      <c r="I44" s="67">
        <f t="shared" si="20"/>
        <v>2034103.6277123943</v>
      </c>
      <c r="J44" s="67">
        <f t="shared" si="20"/>
        <v>1725685.0964623943</v>
      </c>
      <c r="K44" s="67">
        <f t="shared" si="20"/>
        <v>1695668.9224623942</v>
      </c>
      <c r="L44" s="67">
        <f t="shared" si="20"/>
        <v>2148349.6472123945</v>
      </c>
      <c r="M44" s="67">
        <f t="shared" si="20"/>
        <v>1665652.7484623946</v>
      </c>
      <c r="N44" s="67">
        <f t="shared" si="20"/>
        <v>1725685.0964623943</v>
      </c>
      <c r="O44" s="67">
        <f t="shared" si="20"/>
        <v>1720662.3805623944</v>
      </c>
      <c r="P44" s="67">
        <f t="shared" si="20"/>
        <v>1605620.4004623946</v>
      </c>
      <c r="Q44" s="67">
        <f t="shared" si="20"/>
        <v>1725685.0964623943</v>
      </c>
      <c r="R44" s="67">
        <f t="shared" si="20"/>
        <v>1930391.8937123944</v>
      </c>
      <c r="S44" s="67">
        <f t="shared" si="20"/>
        <v>1725685.0964623943</v>
      </c>
      <c r="T44" s="67">
        <f t="shared" si="20"/>
        <v>1695668.9224623942</v>
      </c>
      <c r="U44" s="67">
        <f t="shared" si="20"/>
        <v>2134715.1789623946</v>
      </c>
      <c r="V44" s="67">
        <f t="shared" si="20"/>
        <v>1725685.0964623943</v>
      </c>
      <c r="W44" s="67">
        <f t="shared" si="20"/>
        <v>1695668.9224623942</v>
      </c>
      <c r="X44" s="67">
        <f t="shared" si="20"/>
        <v>2169729.4312984049</v>
      </c>
      <c r="Y44" s="67">
        <f t="shared" si="20"/>
        <v>1665652.7484623946</v>
      </c>
      <c r="Z44" s="67">
        <f t="shared" si="20"/>
        <v>1908300.8258470097</v>
      </c>
      <c r="AA44" s="67">
        <f t="shared" si="20"/>
        <v>1700879.7817984051</v>
      </c>
      <c r="AB44" s="67">
        <f t="shared" si="20"/>
        <v>1635636.5744623945</v>
      </c>
      <c r="AC44" s="67">
        <f t="shared" si="20"/>
        <v>1725685.0964623943</v>
      </c>
      <c r="AD44" s="67">
        <f t="shared" si="20"/>
        <v>1821492.092419344</v>
      </c>
      <c r="AE44" s="67">
        <f t="shared" si="20"/>
        <v>1613186.1148333331</v>
      </c>
      <c r="AF44" s="67">
        <f t="shared" si="20"/>
        <v>1583169.9408333329</v>
      </c>
      <c r="AG44" s="67">
        <f t="shared" si="20"/>
        <v>2042129.8016693436</v>
      </c>
      <c r="AH44" s="67">
        <f t="shared" si="20"/>
        <v>1613186.1148333331</v>
      </c>
      <c r="AI44" s="67">
        <f t="shared" ref="AI44:BA44" si="21">SUM(AI37:AI43)</f>
        <v>1583169.9408333329</v>
      </c>
      <c r="AJ44" s="67">
        <f t="shared" si="21"/>
        <v>2015071.5588166025</v>
      </c>
      <c r="AK44" s="67">
        <f t="shared" si="21"/>
        <v>1553153.7668333333</v>
      </c>
      <c r="AL44" s="67">
        <f t="shared" si="21"/>
        <v>1613186.1148333331</v>
      </c>
      <c r="AM44" s="67">
        <f t="shared" si="21"/>
        <v>1573810.7020666024</v>
      </c>
      <c r="AN44" s="67">
        <f t="shared" si="21"/>
        <v>1493121.4188333333</v>
      </c>
      <c r="AO44" s="67">
        <f t="shared" si="21"/>
        <v>1613186.1148333331</v>
      </c>
      <c r="AP44" s="67">
        <f t="shared" si="21"/>
        <v>1769658.6459416025</v>
      </c>
      <c r="AQ44" s="67">
        <f t="shared" si="21"/>
        <v>1613186.1148333331</v>
      </c>
      <c r="AR44" s="67">
        <f t="shared" si="21"/>
        <v>1583169.9408333329</v>
      </c>
      <c r="AS44" s="67">
        <f t="shared" si="21"/>
        <v>1988427.7821916023</v>
      </c>
      <c r="AT44" s="67">
        <f t="shared" si="21"/>
        <v>1613186.1148333331</v>
      </c>
      <c r="AU44" s="67">
        <f t="shared" si="21"/>
        <v>1583169.9408333329</v>
      </c>
      <c r="AV44" s="67">
        <f t="shared" si="21"/>
        <v>1963849.234112825</v>
      </c>
      <c r="AW44" s="67">
        <f t="shared" si="21"/>
        <v>1553153.7668333333</v>
      </c>
      <c r="AX44" s="67">
        <f t="shared" si="21"/>
        <v>1613186.1148333331</v>
      </c>
      <c r="AY44" s="67">
        <f t="shared" si="21"/>
        <v>1522284.6254878249</v>
      </c>
      <c r="AZ44" s="67">
        <f t="shared" si="21"/>
        <v>1493121.4188333333</v>
      </c>
      <c r="BA44" s="67">
        <f t="shared" si="21"/>
        <v>1613186.1148333331</v>
      </c>
    </row>
    <row r="45" spans="1:53" ht="12.75" customHeight="1" x14ac:dyDescent="0.25">
      <c r="B45" s="61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</row>
    <row r="46" spans="1:53" ht="15.75" customHeight="1" x14ac:dyDescent="0.35">
      <c r="A46" s="42" t="s">
        <v>181</v>
      </c>
      <c r="B46" s="61"/>
      <c r="C46" s="25">
        <f t="shared" ref="C46:AH46" si="22">C17-C44</f>
        <v>0</v>
      </c>
      <c r="D46" s="25">
        <f t="shared" si="22"/>
        <v>0</v>
      </c>
      <c r="E46" s="25">
        <f t="shared" si="22"/>
        <v>1900550.0993992675</v>
      </c>
      <c r="F46" s="25">
        <f t="shared" si="22"/>
        <v>12354.699082477484</v>
      </c>
      <c r="G46" s="25">
        <f t="shared" si="22"/>
        <v>57492.400787605671</v>
      </c>
      <c r="H46" s="25">
        <f t="shared" si="22"/>
        <v>-115289.8837123944</v>
      </c>
      <c r="I46" s="25">
        <f t="shared" si="22"/>
        <v>-25622.753337394213</v>
      </c>
      <c r="J46" s="25">
        <f t="shared" si="22"/>
        <v>282795.77791260579</v>
      </c>
      <c r="K46" s="25">
        <f t="shared" si="22"/>
        <v>29986.720037605846</v>
      </c>
      <c r="L46" s="25">
        <f t="shared" si="22"/>
        <v>-365172.1499623945</v>
      </c>
      <c r="M46" s="25">
        <f t="shared" si="22"/>
        <v>2481.0392876055557</v>
      </c>
      <c r="N46" s="25">
        <f t="shared" si="22"/>
        <v>95580.639137605438</v>
      </c>
      <c r="O46" s="25">
        <f t="shared" si="22"/>
        <v>-627747.14031239436</v>
      </c>
      <c r="P46" s="25">
        <f t="shared" si="22"/>
        <v>-52530.32221239456</v>
      </c>
      <c r="Q46" s="25">
        <f t="shared" si="22"/>
        <v>57492.400787605671</v>
      </c>
      <c r="R46" s="25">
        <f t="shared" si="22"/>
        <v>-162225.49146239436</v>
      </c>
      <c r="S46" s="25">
        <f t="shared" si="22"/>
        <v>164423.81628760579</v>
      </c>
      <c r="T46" s="25">
        <f t="shared" si="22"/>
        <v>263383.66753760586</v>
      </c>
      <c r="U46" s="25">
        <f t="shared" si="22"/>
        <v>14518.634037605487</v>
      </c>
      <c r="V46" s="25">
        <f t="shared" si="22"/>
        <v>423548.71653760574</v>
      </c>
      <c r="W46" s="25">
        <f t="shared" si="22"/>
        <v>133468.73503760574</v>
      </c>
      <c r="X46" s="25">
        <f t="shared" si="22"/>
        <v>-279620.5185484048</v>
      </c>
      <c r="Y46" s="25">
        <f t="shared" si="22"/>
        <v>102513.65378760546</v>
      </c>
      <c r="Z46" s="25">
        <f t="shared" si="22"/>
        <v>16149.94115299033</v>
      </c>
      <c r="AA46" s="25">
        <f t="shared" si="22"/>
        <v>-603397.18729840498</v>
      </c>
      <c r="AB46" s="25">
        <f t="shared" si="22"/>
        <v>71558.572537605418</v>
      </c>
      <c r="AC46" s="25">
        <f t="shared" si="22"/>
        <v>164423.81628760579</v>
      </c>
      <c r="AD46" s="25">
        <f t="shared" si="22"/>
        <v>76640.108080655802</v>
      </c>
      <c r="AE46" s="25">
        <f t="shared" si="22"/>
        <v>415851.75466666697</v>
      </c>
      <c r="AF46" s="25">
        <f t="shared" si="22"/>
        <v>482131.436666667</v>
      </c>
      <c r="AG46" s="25">
        <f t="shared" si="22"/>
        <v>216894.42508065631</v>
      </c>
      <c r="AH46" s="25">
        <f t="shared" si="22"/>
        <v>645838.11191666685</v>
      </c>
      <c r="AI46" s="25">
        <f t="shared" ref="AI46:BA46" si="23">AI17-AI44</f>
        <v>344663.31041666702</v>
      </c>
      <c r="AJ46" s="25">
        <f t="shared" si="23"/>
        <v>-22977.199191602413</v>
      </c>
      <c r="AK46" s="25">
        <f t="shared" si="23"/>
        <v>310418.37604166684</v>
      </c>
      <c r="AL46" s="25">
        <f t="shared" si="23"/>
        <v>415851.75466666697</v>
      </c>
      <c r="AM46" s="25">
        <f t="shared" si="23"/>
        <v>-352849.64294160251</v>
      </c>
      <c r="AN46" s="25">
        <f t="shared" si="23"/>
        <v>241928.5072916667</v>
      </c>
      <c r="AO46" s="25">
        <f t="shared" si="23"/>
        <v>378908.24479166698</v>
      </c>
      <c r="AP46" s="25">
        <f t="shared" si="23"/>
        <v>229479.86218339717</v>
      </c>
      <c r="AQ46" s="25">
        <f t="shared" si="23"/>
        <v>486880.50466666697</v>
      </c>
      <c r="AR46" s="25">
        <f t="shared" si="23"/>
        <v>550868.936666667</v>
      </c>
      <c r="AS46" s="25">
        <f t="shared" si="23"/>
        <v>341625.19455839763</v>
      </c>
      <c r="AT46" s="25">
        <f t="shared" si="23"/>
        <v>716866.86191666685</v>
      </c>
      <c r="AU46" s="25">
        <f t="shared" si="23"/>
        <v>420954.00416666688</v>
      </c>
      <c r="AV46" s="25">
        <f t="shared" si="23"/>
        <v>107078.84238717495</v>
      </c>
      <c r="AW46" s="25">
        <f t="shared" si="23"/>
        <v>376864.62604166684</v>
      </c>
      <c r="AX46" s="25">
        <f t="shared" si="23"/>
        <v>486880.50466666697</v>
      </c>
      <c r="AY46" s="25">
        <f t="shared" si="23"/>
        <v>-257789.81636282476</v>
      </c>
      <c r="AZ46" s="25">
        <f t="shared" si="23"/>
        <v>303792.2572916667</v>
      </c>
      <c r="BA46" s="25">
        <f t="shared" si="23"/>
        <v>449936.99479166698</v>
      </c>
    </row>
    <row r="47" spans="1:53" ht="12.75" customHeight="1" x14ac:dyDescent="0.25">
      <c r="B47" s="61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</row>
    <row r="48" spans="1:53" ht="12.75" customHeight="1" x14ac:dyDescent="0.25">
      <c r="A48" s="1" t="s">
        <v>182</v>
      </c>
      <c r="B48" s="61"/>
      <c r="C48" s="25">
        <v>0</v>
      </c>
      <c r="D48" s="25">
        <f t="shared" ref="D48:AI48" si="24">C50</f>
        <v>0</v>
      </c>
      <c r="E48" s="25">
        <f t="shared" si="24"/>
        <v>0</v>
      </c>
      <c r="F48" s="25">
        <f t="shared" si="24"/>
        <v>1900550.0993992675</v>
      </c>
      <c r="G48" s="25">
        <f t="shared" si="24"/>
        <v>1912904.7984817449</v>
      </c>
      <c r="H48" s="25">
        <f t="shared" si="24"/>
        <v>1970397.1992693506</v>
      </c>
      <c r="I48" s="25">
        <f t="shared" si="24"/>
        <v>1855107.3155569562</v>
      </c>
      <c r="J48" s="25">
        <f t="shared" si="24"/>
        <v>1829484.562219562</v>
      </c>
      <c r="K48" s="25">
        <f t="shared" si="24"/>
        <v>2112280.3401321676</v>
      </c>
      <c r="L48" s="25">
        <f t="shared" si="24"/>
        <v>2142267.0601697732</v>
      </c>
      <c r="M48" s="25">
        <f t="shared" si="24"/>
        <v>1777094.9102073787</v>
      </c>
      <c r="N48" s="25">
        <f t="shared" si="24"/>
        <v>1779575.9494949842</v>
      </c>
      <c r="O48" s="25">
        <f t="shared" si="24"/>
        <v>1875156.5886325897</v>
      </c>
      <c r="P48" s="25">
        <f t="shared" si="24"/>
        <v>1247409.4483201953</v>
      </c>
      <c r="Q48" s="25">
        <f t="shared" si="24"/>
        <v>1194879.1261078008</v>
      </c>
      <c r="R48" s="25">
        <f t="shared" si="24"/>
        <v>1252371.5268954064</v>
      </c>
      <c r="S48" s="25">
        <f t="shared" si="24"/>
        <v>1090146.0354330121</v>
      </c>
      <c r="T48" s="25">
        <f t="shared" si="24"/>
        <v>1254569.8517206179</v>
      </c>
      <c r="U48" s="25">
        <f t="shared" si="24"/>
        <v>1517953.5192582237</v>
      </c>
      <c r="V48" s="25">
        <f t="shared" si="24"/>
        <v>1532472.1532958292</v>
      </c>
      <c r="W48" s="25">
        <f t="shared" si="24"/>
        <v>1956020.8698334349</v>
      </c>
      <c r="X48" s="25">
        <f t="shared" si="24"/>
        <v>2089489.6048710407</v>
      </c>
      <c r="Y48" s="25">
        <f t="shared" si="24"/>
        <v>1809869.0863226359</v>
      </c>
      <c r="Z48" s="25">
        <f t="shared" si="24"/>
        <v>1912382.7401102413</v>
      </c>
      <c r="AA48" s="25">
        <f t="shared" si="24"/>
        <v>1928532.6812632317</v>
      </c>
      <c r="AB48" s="25">
        <f t="shared" si="24"/>
        <v>1325135.4939648267</v>
      </c>
      <c r="AC48" s="25">
        <f t="shared" si="24"/>
        <v>1396694.0665024321</v>
      </c>
      <c r="AD48" s="25">
        <f t="shared" si="24"/>
        <v>1561117.8827900379</v>
      </c>
      <c r="AE48" s="25">
        <f t="shared" si="24"/>
        <v>1637757.9908706937</v>
      </c>
      <c r="AF48" s="25">
        <f t="shared" si="24"/>
        <v>2053609.7455373607</v>
      </c>
      <c r="AG48" s="25">
        <f t="shared" si="24"/>
        <v>2535741.1822040277</v>
      </c>
      <c r="AH48" s="25">
        <f t="shared" si="24"/>
        <v>2752635.6072846837</v>
      </c>
      <c r="AI48" s="25">
        <f t="shared" si="24"/>
        <v>3398473.7192013506</v>
      </c>
      <c r="AJ48" s="25">
        <f t="shared" ref="AJ48:BA48" si="25">AI50</f>
        <v>3743137.0296180174</v>
      </c>
      <c r="AK48" s="25">
        <f t="shared" si="25"/>
        <v>3720159.830426415</v>
      </c>
      <c r="AL48" s="25">
        <f t="shared" si="25"/>
        <v>4030578.206468082</v>
      </c>
      <c r="AM48" s="25">
        <f t="shared" si="25"/>
        <v>4446429.9611347485</v>
      </c>
      <c r="AN48" s="25">
        <f t="shared" si="25"/>
        <v>4093580.318193146</v>
      </c>
      <c r="AO48" s="25">
        <f t="shared" si="25"/>
        <v>4335508.8254848123</v>
      </c>
      <c r="AP48" s="25">
        <f t="shared" si="25"/>
        <v>4714417.0702764792</v>
      </c>
      <c r="AQ48" s="25">
        <f t="shared" si="25"/>
        <v>4943896.9324598759</v>
      </c>
      <c r="AR48" s="25">
        <f t="shared" si="25"/>
        <v>5430777.4371265434</v>
      </c>
      <c r="AS48" s="25">
        <f t="shared" si="25"/>
        <v>5981646.3737932108</v>
      </c>
      <c r="AT48" s="25">
        <f t="shared" si="25"/>
        <v>6323271.5683516087</v>
      </c>
      <c r="AU48" s="25">
        <f t="shared" si="25"/>
        <v>7040138.4302682756</v>
      </c>
      <c r="AV48" s="25">
        <f t="shared" si="25"/>
        <v>7461092.4344349429</v>
      </c>
      <c r="AW48" s="25">
        <f t="shared" si="25"/>
        <v>7568171.2768221181</v>
      </c>
      <c r="AX48" s="25">
        <f t="shared" si="25"/>
        <v>7945035.9028637847</v>
      </c>
      <c r="AY48" s="25">
        <f t="shared" si="25"/>
        <v>8431916.4075304512</v>
      </c>
      <c r="AZ48" s="25">
        <f t="shared" si="25"/>
        <v>8174126.5911676269</v>
      </c>
      <c r="BA48" s="25">
        <f t="shared" si="25"/>
        <v>8477918.8484592941</v>
      </c>
    </row>
    <row r="49" spans="1:53" ht="12.75" customHeight="1" x14ac:dyDescent="0.25">
      <c r="B49" s="61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  <c r="AZ49" s="45"/>
      <c r="BA49" s="45"/>
    </row>
    <row r="50" spans="1:53" ht="15" customHeight="1" x14ac:dyDescent="0.35">
      <c r="A50" s="42" t="s">
        <v>183</v>
      </c>
      <c r="C50" s="47">
        <f t="shared" ref="C50:AH50" si="26">C46+C48</f>
        <v>0</v>
      </c>
      <c r="D50" s="47">
        <f t="shared" si="26"/>
        <v>0</v>
      </c>
      <c r="E50" s="47">
        <f t="shared" si="26"/>
        <v>1900550.0993992675</v>
      </c>
      <c r="F50" s="47">
        <f t="shared" si="26"/>
        <v>1912904.7984817449</v>
      </c>
      <c r="G50" s="47">
        <f t="shared" si="26"/>
        <v>1970397.1992693506</v>
      </c>
      <c r="H50" s="47">
        <f t="shared" si="26"/>
        <v>1855107.3155569562</v>
      </c>
      <c r="I50" s="47">
        <f t="shared" si="26"/>
        <v>1829484.562219562</v>
      </c>
      <c r="J50" s="47">
        <f t="shared" si="26"/>
        <v>2112280.3401321676</v>
      </c>
      <c r="K50" s="47">
        <f t="shared" si="26"/>
        <v>2142267.0601697732</v>
      </c>
      <c r="L50" s="47">
        <f t="shared" si="26"/>
        <v>1777094.9102073787</v>
      </c>
      <c r="M50" s="47">
        <f t="shared" si="26"/>
        <v>1779575.9494949842</v>
      </c>
      <c r="N50" s="47">
        <f t="shared" si="26"/>
        <v>1875156.5886325897</v>
      </c>
      <c r="O50" s="47">
        <f t="shared" si="26"/>
        <v>1247409.4483201953</v>
      </c>
      <c r="P50" s="47">
        <f t="shared" si="26"/>
        <v>1194879.1261078008</v>
      </c>
      <c r="Q50" s="47">
        <f t="shared" si="26"/>
        <v>1252371.5268954064</v>
      </c>
      <c r="R50" s="47">
        <f t="shared" si="26"/>
        <v>1090146.0354330121</v>
      </c>
      <c r="S50" s="47">
        <f t="shared" si="26"/>
        <v>1254569.8517206179</v>
      </c>
      <c r="T50" s="47">
        <f t="shared" si="26"/>
        <v>1517953.5192582237</v>
      </c>
      <c r="U50" s="47">
        <f t="shared" si="26"/>
        <v>1532472.1532958292</v>
      </c>
      <c r="V50" s="47">
        <f t="shared" si="26"/>
        <v>1956020.8698334349</v>
      </c>
      <c r="W50" s="47">
        <f t="shared" si="26"/>
        <v>2089489.6048710407</v>
      </c>
      <c r="X50" s="47">
        <f t="shared" si="26"/>
        <v>1809869.0863226359</v>
      </c>
      <c r="Y50" s="47">
        <f t="shared" si="26"/>
        <v>1912382.7401102413</v>
      </c>
      <c r="Z50" s="47">
        <f t="shared" si="26"/>
        <v>1928532.6812632317</v>
      </c>
      <c r="AA50" s="47">
        <f t="shared" si="26"/>
        <v>1325135.4939648267</v>
      </c>
      <c r="AB50" s="47">
        <f t="shared" si="26"/>
        <v>1396694.0665024321</v>
      </c>
      <c r="AC50" s="47">
        <f t="shared" si="26"/>
        <v>1561117.8827900379</v>
      </c>
      <c r="AD50" s="47">
        <f t="shared" si="26"/>
        <v>1637757.9908706937</v>
      </c>
      <c r="AE50" s="47">
        <f t="shared" si="26"/>
        <v>2053609.7455373607</v>
      </c>
      <c r="AF50" s="47">
        <f t="shared" si="26"/>
        <v>2535741.1822040277</v>
      </c>
      <c r="AG50" s="47">
        <f t="shared" si="26"/>
        <v>2752635.6072846837</v>
      </c>
      <c r="AH50" s="47">
        <f t="shared" si="26"/>
        <v>3398473.7192013506</v>
      </c>
      <c r="AI50" s="47">
        <f t="shared" ref="AI50:BA50" si="27">AI46+AI48</f>
        <v>3743137.0296180174</v>
      </c>
      <c r="AJ50" s="47">
        <f t="shared" si="27"/>
        <v>3720159.830426415</v>
      </c>
      <c r="AK50" s="47">
        <f t="shared" si="27"/>
        <v>4030578.206468082</v>
      </c>
      <c r="AL50" s="47">
        <f t="shared" si="27"/>
        <v>4446429.9611347485</v>
      </c>
      <c r="AM50" s="47">
        <f t="shared" si="27"/>
        <v>4093580.318193146</v>
      </c>
      <c r="AN50" s="47">
        <f t="shared" si="27"/>
        <v>4335508.8254848123</v>
      </c>
      <c r="AO50" s="47">
        <f t="shared" si="27"/>
        <v>4714417.0702764792</v>
      </c>
      <c r="AP50" s="47">
        <f t="shared" si="27"/>
        <v>4943896.9324598759</v>
      </c>
      <c r="AQ50" s="47">
        <f t="shared" si="27"/>
        <v>5430777.4371265434</v>
      </c>
      <c r="AR50" s="47">
        <f t="shared" si="27"/>
        <v>5981646.3737932108</v>
      </c>
      <c r="AS50" s="47">
        <f t="shared" si="27"/>
        <v>6323271.5683516087</v>
      </c>
      <c r="AT50" s="47">
        <f t="shared" si="27"/>
        <v>7040138.4302682756</v>
      </c>
      <c r="AU50" s="47">
        <f t="shared" si="27"/>
        <v>7461092.4344349429</v>
      </c>
      <c r="AV50" s="47">
        <f t="shared" si="27"/>
        <v>7568171.2768221181</v>
      </c>
      <c r="AW50" s="47">
        <f t="shared" si="27"/>
        <v>7945035.9028637847</v>
      </c>
      <c r="AX50" s="47">
        <f t="shared" si="27"/>
        <v>8431916.4075304512</v>
      </c>
      <c r="AY50" s="47">
        <f t="shared" si="27"/>
        <v>8174126.5911676269</v>
      </c>
      <c r="AZ50" s="47">
        <f t="shared" si="27"/>
        <v>8477918.8484592941</v>
      </c>
      <c r="BA50" s="47">
        <f t="shared" si="27"/>
        <v>8927855.8432509601</v>
      </c>
    </row>
    <row r="51" spans="1:53" ht="12.75" customHeight="1" x14ac:dyDescent="0.25"/>
    <row r="52" spans="1:53" ht="12.75" customHeight="1" x14ac:dyDescent="0.25"/>
    <row r="53" spans="1:53" ht="12.75" customHeight="1" x14ac:dyDescent="0.25">
      <c r="B53" s="1" t="s">
        <v>185</v>
      </c>
      <c r="C53" s="25">
        <f>C10+C12</f>
        <v>0</v>
      </c>
      <c r="D53" s="25">
        <f>D10+D12</f>
        <v>0</v>
      </c>
      <c r="E53" s="25">
        <f>E10+E12</f>
        <v>57979.249999999993</v>
      </c>
      <c r="F53" s="25">
        <f t="shared" ref="F53:BA53" si="28">F10+F12+F14</f>
        <v>248445.45774999997</v>
      </c>
      <c r="G53" s="25">
        <f t="shared" si="28"/>
        <v>265579.62724999996</v>
      </c>
      <c r="H53" s="25">
        <f t="shared" si="28"/>
        <v>274486.66875000001</v>
      </c>
      <c r="I53" s="25">
        <f t="shared" si="28"/>
        <v>299135.44937499997</v>
      </c>
      <c r="J53" s="25">
        <f t="shared" si="28"/>
        <v>299135.44937499997</v>
      </c>
      <c r="K53" s="25">
        <f t="shared" si="28"/>
        <v>257012.54249999998</v>
      </c>
      <c r="L53" s="25">
        <f t="shared" si="28"/>
        <v>265579.62724999996</v>
      </c>
      <c r="M53" s="25">
        <f t="shared" si="28"/>
        <v>248445.45774999997</v>
      </c>
      <c r="N53" s="25">
        <f t="shared" si="28"/>
        <v>271252.34359999996</v>
      </c>
      <c r="O53" s="25">
        <f t="shared" si="28"/>
        <v>162774.61024999997</v>
      </c>
      <c r="P53" s="25">
        <f t="shared" si="28"/>
        <v>231311.28824999998</v>
      </c>
      <c r="Q53" s="25">
        <f t="shared" si="28"/>
        <v>265579.62724999996</v>
      </c>
      <c r="R53" s="25">
        <f t="shared" si="28"/>
        <v>263343.93225000001</v>
      </c>
      <c r="S53" s="25">
        <f t="shared" si="28"/>
        <v>281505.58275</v>
      </c>
      <c r="T53" s="25">
        <f t="shared" si="28"/>
        <v>291773.78999999998</v>
      </c>
      <c r="U53" s="25">
        <f t="shared" si="28"/>
        <v>320098.65299999999</v>
      </c>
      <c r="V53" s="25">
        <f t="shared" si="28"/>
        <v>320098.65299999999</v>
      </c>
      <c r="W53" s="25">
        <f t="shared" si="28"/>
        <v>272424.75749999995</v>
      </c>
      <c r="X53" s="25">
        <f t="shared" si="28"/>
        <v>281505.58275</v>
      </c>
      <c r="Y53" s="25">
        <f t="shared" si="28"/>
        <v>263343.93225000001</v>
      </c>
      <c r="Z53" s="25">
        <f t="shared" si="28"/>
        <v>286620.32699999999</v>
      </c>
      <c r="AA53" s="25">
        <f t="shared" si="28"/>
        <v>163454.85449999999</v>
      </c>
      <c r="AB53" s="25">
        <f t="shared" si="28"/>
        <v>254263.10699999996</v>
      </c>
      <c r="AC53" s="25">
        <f t="shared" si="28"/>
        <v>281505.58275</v>
      </c>
      <c r="AD53" s="25">
        <f t="shared" si="28"/>
        <v>282700.54049999994</v>
      </c>
      <c r="AE53" s="25">
        <f t="shared" si="28"/>
        <v>302197.12949999998</v>
      </c>
      <c r="AF53" s="25">
        <f t="shared" si="28"/>
        <v>307598.07749999996</v>
      </c>
      <c r="AG53" s="25">
        <f t="shared" si="28"/>
        <v>336450.41674999997</v>
      </c>
      <c r="AH53" s="25">
        <f t="shared" si="28"/>
        <v>336450.41674999997</v>
      </c>
      <c r="AI53" s="25">
        <f t="shared" si="28"/>
        <v>287124.10124999995</v>
      </c>
      <c r="AJ53" s="25">
        <f t="shared" si="28"/>
        <v>296694.90462500002</v>
      </c>
      <c r="AK53" s="25">
        <f t="shared" si="28"/>
        <v>277553.29787499999</v>
      </c>
      <c r="AL53" s="25">
        <f t="shared" si="28"/>
        <v>302197.12949999998</v>
      </c>
      <c r="AM53" s="25">
        <f t="shared" si="28"/>
        <v>181845.26412499999</v>
      </c>
      <c r="AN53" s="25">
        <f t="shared" si="28"/>
        <v>258411.69112499998</v>
      </c>
      <c r="AO53" s="25">
        <f t="shared" si="28"/>
        <v>296694.90462500002</v>
      </c>
      <c r="AP53" s="25">
        <f t="shared" si="28"/>
        <v>297744.03312499996</v>
      </c>
      <c r="AQ53" s="25">
        <f t="shared" si="28"/>
        <v>312775.87949999998</v>
      </c>
      <c r="AR53" s="25">
        <f t="shared" si="28"/>
        <v>317835.57749999996</v>
      </c>
      <c r="AS53" s="25">
        <f t="shared" si="28"/>
        <v>347029.16674999997</v>
      </c>
      <c r="AT53" s="25">
        <f t="shared" si="28"/>
        <v>347029.16674999997</v>
      </c>
      <c r="AU53" s="25">
        <f t="shared" si="28"/>
        <v>298486.54499999993</v>
      </c>
      <c r="AV53" s="25">
        <f t="shared" si="28"/>
        <v>308436.09649999999</v>
      </c>
      <c r="AW53" s="25">
        <f t="shared" si="28"/>
        <v>287449.54787499999</v>
      </c>
      <c r="AX53" s="25">
        <f t="shared" si="28"/>
        <v>312775.87949999998</v>
      </c>
      <c r="AY53" s="25">
        <f t="shared" si="28"/>
        <v>188329.01412499999</v>
      </c>
      <c r="AZ53" s="25">
        <f t="shared" si="28"/>
        <v>267625.44112500001</v>
      </c>
      <c r="BA53" s="25">
        <f t="shared" si="28"/>
        <v>307273.65462500002</v>
      </c>
    </row>
    <row r="54" spans="1:53" ht="12.75" customHeight="1" x14ac:dyDescent="0.25">
      <c r="B54" s="1" t="s">
        <v>186</v>
      </c>
      <c r="C54" s="25">
        <f t="shared" ref="C54:AH54" si="29">-(C36+C31+C29+C27+C25+C23)</f>
        <v>0</v>
      </c>
      <c r="D54" s="25">
        <f t="shared" si="29"/>
        <v>0</v>
      </c>
      <c r="E54" s="25">
        <f t="shared" si="29"/>
        <v>-140352.90979487181</v>
      </c>
      <c r="F54" s="25">
        <f t="shared" si="29"/>
        <v>-192518.24016666668</v>
      </c>
      <c r="G54" s="25">
        <f t="shared" si="29"/>
        <v>-145043.90816666666</v>
      </c>
      <c r="H54" s="25">
        <f t="shared" si="29"/>
        <v>-142531.07416666666</v>
      </c>
      <c r="I54" s="25">
        <f t="shared" si="29"/>
        <v>-145043.90816666666</v>
      </c>
      <c r="J54" s="25">
        <f t="shared" si="29"/>
        <v>-145043.90816666666</v>
      </c>
      <c r="K54" s="25">
        <f t="shared" si="29"/>
        <v>-142531.07416666666</v>
      </c>
      <c r="L54" s="25">
        <f t="shared" si="29"/>
        <v>-145043.90816666666</v>
      </c>
      <c r="M54" s="25">
        <f t="shared" si="29"/>
        <v>-140018.24016666668</v>
      </c>
      <c r="N54" s="25">
        <f t="shared" si="29"/>
        <v>-145043.90816666666</v>
      </c>
      <c r="O54" s="25">
        <f t="shared" si="29"/>
        <v>-114889.90016666667</v>
      </c>
      <c r="P54" s="25">
        <f t="shared" si="29"/>
        <v>-134992.57216666668</v>
      </c>
      <c r="Q54" s="25">
        <f t="shared" si="29"/>
        <v>-145043.90816666666</v>
      </c>
      <c r="R54" s="25">
        <f t="shared" si="29"/>
        <v>-140018.24016666668</v>
      </c>
      <c r="S54" s="25">
        <f t="shared" si="29"/>
        <v>-145043.90816666666</v>
      </c>
      <c r="T54" s="25">
        <f t="shared" si="29"/>
        <v>-142531.07416666666</v>
      </c>
      <c r="U54" s="25">
        <f t="shared" si="29"/>
        <v>-145043.90816666666</v>
      </c>
      <c r="V54" s="25">
        <f t="shared" si="29"/>
        <v>-145043.90816666666</v>
      </c>
      <c r="W54" s="25">
        <f t="shared" si="29"/>
        <v>-142531.07416666666</v>
      </c>
      <c r="X54" s="25">
        <f t="shared" si="29"/>
        <v>-145043.90816666666</v>
      </c>
      <c r="Y54" s="25">
        <f t="shared" si="29"/>
        <v>-140018.24016666668</v>
      </c>
      <c r="Z54" s="25">
        <f t="shared" si="29"/>
        <v>-145043.90816666666</v>
      </c>
      <c r="AA54" s="25">
        <f t="shared" si="29"/>
        <v>-112377.06616666667</v>
      </c>
      <c r="AB54" s="25">
        <f t="shared" si="29"/>
        <v>-137505.40616666668</v>
      </c>
      <c r="AC54" s="25">
        <f t="shared" si="29"/>
        <v>-145043.90816666666</v>
      </c>
      <c r="AD54" s="25">
        <f t="shared" si="29"/>
        <v>-140018.24016666668</v>
      </c>
      <c r="AE54" s="25">
        <f t="shared" si="29"/>
        <v>-145043.90816666666</v>
      </c>
      <c r="AF54" s="25">
        <f t="shared" si="29"/>
        <v>-142531.07416666666</v>
      </c>
      <c r="AG54" s="25">
        <f t="shared" si="29"/>
        <v>-145043.90816666666</v>
      </c>
      <c r="AH54" s="25">
        <f t="shared" si="29"/>
        <v>-145043.90816666666</v>
      </c>
      <c r="AI54" s="25">
        <f t="shared" ref="AI54:BA54" si="30">-(AI36+AI31+AI29+AI27+AI25+AI23)</f>
        <v>-142531.07416666666</v>
      </c>
      <c r="AJ54" s="25">
        <f t="shared" si="30"/>
        <v>-145043.90816666666</v>
      </c>
      <c r="AK54" s="25">
        <f t="shared" si="30"/>
        <v>-140018.24016666668</v>
      </c>
      <c r="AL54" s="25">
        <f t="shared" si="30"/>
        <v>-145043.90816666666</v>
      </c>
      <c r="AM54" s="25">
        <f t="shared" si="30"/>
        <v>-114889.90016666667</v>
      </c>
      <c r="AN54" s="25">
        <f t="shared" si="30"/>
        <v>-134992.57216666668</v>
      </c>
      <c r="AO54" s="25">
        <f t="shared" si="30"/>
        <v>-145043.90816666666</v>
      </c>
      <c r="AP54" s="25">
        <f t="shared" si="30"/>
        <v>-140018.24016666668</v>
      </c>
      <c r="AQ54" s="25">
        <f t="shared" si="30"/>
        <v>-145043.90816666666</v>
      </c>
      <c r="AR54" s="25">
        <f t="shared" si="30"/>
        <v>-142531.07416666666</v>
      </c>
      <c r="AS54" s="25">
        <f t="shared" si="30"/>
        <v>-145043.90816666666</v>
      </c>
      <c r="AT54" s="25">
        <f t="shared" si="30"/>
        <v>-145043.90816666666</v>
      </c>
      <c r="AU54" s="25">
        <f t="shared" si="30"/>
        <v>-142531.07416666666</v>
      </c>
      <c r="AV54" s="25">
        <f t="shared" si="30"/>
        <v>-145043.90816666666</v>
      </c>
      <c r="AW54" s="25">
        <f t="shared" si="30"/>
        <v>-140018.24016666668</v>
      </c>
      <c r="AX54" s="25">
        <f t="shared" si="30"/>
        <v>-145043.90816666666</v>
      </c>
      <c r="AY54" s="25">
        <f t="shared" si="30"/>
        <v>-114889.90016666667</v>
      </c>
      <c r="AZ54" s="25">
        <f t="shared" si="30"/>
        <v>-134992.57216666668</v>
      </c>
      <c r="BA54" s="25">
        <f t="shared" si="30"/>
        <v>-145043.90816666666</v>
      </c>
    </row>
    <row r="55" spans="1:53" ht="12.75" customHeight="1" x14ac:dyDescent="0.25">
      <c r="B55" s="1" t="s">
        <v>187</v>
      </c>
      <c r="C55" s="25">
        <f t="shared" ref="C55:AH55" si="31">C53+C54</f>
        <v>0</v>
      </c>
      <c r="D55" s="25">
        <f t="shared" si="31"/>
        <v>0</v>
      </c>
      <c r="E55" s="25">
        <f t="shared" si="31"/>
        <v>-82373.659794871812</v>
      </c>
      <c r="F55" s="25">
        <f t="shared" si="31"/>
        <v>55927.217583333288</v>
      </c>
      <c r="G55" s="25">
        <f t="shared" si="31"/>
        <v>120535.7190833333</v>
      </c>
      <c r="H55" s="25">
        <f t="shared" si="31"/>
        <v>131955.59458333335</v>
      </c>
      <c r="I55" s="25">
        <f t="shared" si="31"/>
        <v>154091.54120833331</v>
      </c>
      <c r="J55" s="25">
        <f t="shared" si="31"/>
        <v>154091.54120833331</v>
      </c>
      <c r="K55" s="25">
        <f t="shared" si="31"/>
        <v>114481.46833333332</v>
      </c>
      <c r="L55" s="25">
        <f t="shared" si="31"/>
        <v>120535.7190833333</v>
      </c>
      <c r="M55" s="25">
        <f t="shared" si="31"/>
        <v>108427.21758333329</v>
      </c>
      <c r="N55" s="25">
        <f t="shared" si="31"/>
        <v>126208.4354333333</v>
      </c>
      <c r="O55" s="25">
        <f t="shared" si="31"/>
        <v>47884.710083333295</v>
      </c>
      <c r="P55" s="25">
        <f t="shared" si="31"/>
        <v>96318.716083333304</v>
      </c>
      <c r="Q55" s="25">
        <f t="shared" si="31"/>
        <v>120535.7190833333</v>
      </c>
      <c r="R55" s="25">
        <f t="shared" si="31"/>
        <v>123325.69208333333</v>
      </c>
      <c r="S55" s="25">
        <f t="shared" si="31"/>
        <v>136461.67458333334</v>
      </c>
      <c r="T55" s="25">
        <f t="shared" si="31"/>
        <v>149242.71583333332</v>
      </c>
      <c r="U55" s="25">
        <f t="shared" si="31"/>
        <v>175054.74483333333</v>
      </c>
      <c r="V55" s="25">
        <f t="shared" si="31"/>
        <v>175054.74483333333</v>
      </c>
      <c r="W55" s="25">
        <f t="shared" si="31"/>
        <v>129893.68333333329</v>
      </c>
      <c r="X55" s="25">
        <f t="shared" si="31"/>
        <v>136461.67458333334</v>
      </c>
      <c r="Y55" s="25">
        <f t="shared" si="31"/>
        <v>123325.69208333333</v>
      </c>
      <c r="Z55" s="25">
        <f t="shared" si="31"/>
        <v>141576.41883333333</v>
      </c>
      <c r="AA55" s="25">
        <f t="shared" si="31"/>
        <v>51077.788333333316</v>
      </c>
      <c r="AB55" s="25">
        <f t="shared" si="31"/>
        <v>116757.70083333328</v>
      </c>
      <c r="AC55" s="25">
        <f t="shared" si="31"/>
        <v>136461.67458333334</v>
      </c>
      <c r="AD55" s="25">
        <f t="shared" si="31"/>
        <v>142682.30033333326</v>
      </c>
      <c r="AE55" s="25">
        <f t="shared" si="31"/>
        <v>157153.22133333332</v>
      </c>
      <c r="AF55" s="25">
        <f t="shared" si="31"/>
        <v>165067.0033333333</v>
      </c>
      <c r="AG55" s="25">
        <f t="shared" si="31"/>
        <v>191406.50858333331</v>
      </c>
      <c r="AH55" s="25">
        <f t="shared" si="31"/>
        <v>191406.50858333331</v>
      </c>
      <c r="AI55" s="25">
        <f t="shared" ref="AI55:BA55" si="32">AI53+AI54</f>
        <v>144593.02708333329</v>
      </c>
      <c r="AJ55" s="25">
        <f t="shared" si="32"/>
        <v>151650.99645833336</v>
      </c>
      <c r="AK55" s="25">
        <f t="shared" si="32"/>
        <v>137535.0577083333</v>
      </c>
      <c r="AL55" s="25">
        <f t="shared" si="32"/>
        <v>157153.22133333332</v>
      </c>
      <c r="AM55" s="25">
        <f t="shared" si="32"/>
        <v>66955.363958333313</v>
      </c>
      <c r="AN55" s="25">
        <f t="shared" si="32"/>
        <v>123419.1189583333</v>
      </c>
      <c r="AO55" s="25">
        <f t="shared" si="32"/>
        <v>151650.99645833336</v>
      </c>
      <c r="AP55" s="25">
        <f t="shared" si="32"/>
        <v>157725.79295833327</v>
      </c>
      <c r="AQ55" s="25">
        <f t="shared" si="32"/>
        <v>167731.97133333332</v>
      </c>
      <c r="AR55" s="25">
        <f t="shared" si="32"/>
        <v>175304.5033333333</v>
      </c>
      <c r="AS55" s="25">
        <f t="shared" si="32"/>
        <v>201985.25858333331</v>
      </c>
      <c r="AT55" s="25">
        <f t="shared" si="32"/>
        <v>201985.25858333331</v>
      </c>
      <c r="AU55" s="25">
        <f t="shared" si="32"/>
        <v>155955.47083333327</v>
      </c>
      <c r="AV55" s="25">
        <f t="shared" si="32"/>
        <v>163392.18833333332</v>
      </c>
      <c r="AW55" s="25">
        <f t="shared" si="32"/>
        <v>147431.3077083333</v>
      </c>
      <c r="AX55" s="25">
        <f t="shared" si="32"/>
        <v>167731.97133333332</v>
      </c>
      <c r="AY55" s="25">
        <f t="shared" si="32"/>
        <v>73439.113958333313</v>
      </c>
      <c r="AZ55" s="25">
        <f t="shared" si="32"/>
        <v>132632.86895833333</v>
      </c>
      <c r="BA55" s="25">
        <f t="shared" si="32"/>
        <v>162229.74645833336</v>
      </c>
    </row>
    <row r="56" spans="1:53" ht="12.75" customHeight="1" x14ac:dyDescent="0.25"/>
    <row r="57" spans="1:53" ht="12.75" customHeight="1" x14ac:dyDescent="0.25"/>
    <row r="58" spans="1:53" ht="12.75" customHeight="1" x14ac:dyDescent="0.3">
      <c r="B58" s="36" t="s">
        <v>178</v>
      </c>
    </row>
    <row r="59" spans="1:53" ht="12.75" customHeight="1" x14ac:dyDescent="0.25"/>
    <row r="60" spans="1:53" ht="12.75" customHeight="1" x14ac:dyDescent="0.3">
      <c r="B60" s="2" t="s">
        <v>188</v>
      </c>
      <c r="C60" s="8" t="s">
        <v>193</v>
      </c>
      <c r="D60" s="8" t="s">
        <v>194</v>
      </c>
      <c r="E60" s="8" t="s">
        <v>195</v>
      </c>
      <c r="F60" s="8" t="s">
        <v>189</v>
      </c>
      <c r="G60" s="8" t="s">
        <v>70</v>
      </c>
      <c r="H60" s="8" t="s">
        <v>72</v>
      </c>
      <c r="I60" s="8" t="s">
        <v>60</v>
      </c>
      <c r="J60" s="8" t="s">
        <v>190</v>
      </c>
      <c r="L60" s="8" t="s">
        <v>191</v>
      </c>
    </row>
    <row r="61" spans="1:53" ht="12.75" customHeight="1" x14ac:dyDescent="0.3">
      <c r="B61" s="69">
        <v>2006</v>
      </c>
      <c r="C61" s="25">
        <v>0</v>
      </c>
      <c r="D61" s="25">
        <f>-'P_L Summary'!C78</f>
        <v>-182615.72938461541</v>
      </c>
      <c r="J61" s="25">
        <f>C61+D61-SUM(E61:I61)</f>
        <v>-182615.72938461541</v>
      </c>
      <c r="L61" s="25">
        <f>SUM(E61:I61)</f>
        <v>0</v>
      </c>
    </row>
    <row r="62" spans="1:53" ht="12.75" customHeight="1" x14ac:dyDescent="0.3">
      <c r="B62" s="69">
        <v>2007</v>
      </c>
      <c r="C62" s="25">
        <f>J61</f>
        <v>-182615.72938461541</v>
      </c>
      <c r="D62" s="25">
        <f>-'P_L Summary'!D78</f>
        <v>143835.35265595725</v>
      </c>
      <c r="G62" s="25">
        <f>$D$62/4</f>
        <v>35958.838163989312</v>
      </c>
      <c r="H62" s="25">
        <f>D61</f>
        <v>-182615.72938461541</v>
      </c>
      <c r="I62" s="25">
        <f>$D$62/4</f>
        <v>35958.838163989312</v>
      </c>
      <c r="J62" s="25">
        <f>C62+D62-SUM(E62:I62)</f>
        <v>71917.676327978639</v>
      </c>
      <c r="L62" s="25">
        <f>SUM(E62:I62)</f>
        <v>-110698.0530566368</v>
      </c>
    </row>
    <row r="63" spans="1:53" ht="12.75" customHeight="1" x14ac:dyDescent="0.3">
      <c r="B63" s="69">
        <v>2008</v>
      </c>
      <c r="C63" s="25">
        <f>J62</f>
        <v>71917.676327978639</v>
      </c>
      <c r="D63" s="25">
        <f>-'P_L Summary'!E78</f>
        <v>502082.40106692235</v>
      </c>
      <c r="E63" s="25">
        <f>$D$62/4</f>
        <v>35958.838163989312</v>
      </c>
      <c r="F63" s="25">
        <f>$D$62/4</f>
        <v>35958.838163989312</v>
      </c>
      <c r="G63" s="25">
        <f>$D$63/4</f>
        <v>125520.60026673059</v>
      </c>
      <c r="H63" s="70">
        <v>0</v>
      </c>
      <c r="I63" s="25">
        <f>$D$63/4</f>
        <v>125520.60026673059</v>
      </c>
      <c r="J63" s="25">
        <f>C63+D63-SUM(E63:I63)</f>
        <v>251041.20053346117</v>
      </c>
      <c r="L63" s="25">
        <f>SUM(E63:I63)</f>
        <v>322958.87686143978</v>
      </c>
    </row>
    <row r="64" spans="1:53" ht="12.75" customHeight="1" x14ac:dyDescent="0.3">
      <c r="B64" s="69">
        <v>2009</v>
      </c>
      <c r="C64" s="25">
        <f>J63</f>
        <v>251041.20053346117</v>
      </c>
      <c r="D64" s="25">
        <f>-'P_L Summary'!F78</f>
        <v>837051.47488203156</v>
      </c>
      <c r="E64" s="25">
        <f>$D$63/4</f>
        <v>125520.60026673059</v>
      </c>
      <c r="F64" s="25">
        <f>$D$63/4</f>
        <v>125520.60026673059</v>
      </c>
      <c r="G64" s="25">
        <f>$D$64/4</f>
        <v>209262.86872050789</v>
      </c>
      <c r="H64" s="70">
        <v>0</v>
      </c>
      <c r="I64" s="25">
        <f>$D$64/4</f>
        <v>209262.86872050789</v>
      </c>
      <c r="J64" s="25">
        <f>C64+D64-SUM(E64:I64)</f>
        <v>418525.73744101566</v>
      </c>
      <c r="L64" s="25">
        <f>SUM(E64:I64)</f>
        <v>669566.93797447695</v>
      </c>
    </row>
    <row r="65" spans="2:12" ht="12.75" customHeight="1" x14ac:dyDescent="0.3">
      <c r="B65" s="69">
        <v>2010</v>
      </c>
      <c r="C65" s="25">
        <f>J64</f>
        <v>418525.73744101566</v>
      </c>
      <c r="D65" s="25">
        <f>-'P_L Summary'!G78</f>
        <v>1054680.2727890902</v>
      </c>
      <c r="E65" s="25">
        <f>$D$64/4</f>
        <v>209262.86872050789</v>
      </c>
      <c r="F65" s="25">
        <f>$D$64/4</f>
        <v>209262.86872050789</v>
      </c>
      <c r="G65" s="25">
        <f>$D$65/4</f>
        <v>263670.06819727254</v>
      </c>
      <c r="H65" s="70">
        <v>0</v>
      </c>
      <c r="I65" s="25">
        <f>$D$65/4</f>
        <v>263670.06819727254</v>
      </c>
      <c r="J65" s="25">
        <f>C65+D65-SUM(E65:I65)</f>
        <v>527340.13639454497</v>
      </c>
      <c r="L65" s="25">
        <f>SUM(E65:I65)</f>
        <v>945865.87383556087</v>
      </c>
    </row>
    <row r="66" spans="2:12" ht="12.75" customHeight="1" x14ac:dyDescent="0.25"/>
    <row r="67" spans="2:12" ht="12.75" customHeight="1" x14ac:dyDescent="0.25">
      <c r="B67" s="1" t="s">
        <v>192</v>
      </c>
    </row>
    <row r="68" spans="2:12" ht="12.75" customHeight="1" x14ac:dyDescent="0.25"/>
    <row r="69" spans="2:12" ht="12.75" customHeight="1" x14ac:dyDescent="0.25"/>
    <row r="70" spans="2:12" ht="12.75" customHeight="1" x14ac:dyDescent="0.25"/>
    <row r="71" spans="2:12" ht="12.75" customHeight="1" x14ac:dyDescent="0.25"/>
    <row r="72" spans="2:12" ht="12.75" customHeight="1" x14ac:dyDescent="0.25"/>
    <row r="73" spans="2:12" ht="12.75" customHeight="1" x14ac:dyDescent="0.25"/>
    <row r="74" spans="2:12" ht="12.75" customHeight="1" x14ac:dyDescent="0.25"/>
    <row r="75" spans="2:12" ht="12.75" customHeight="1" x14ac:dyDescent="0.25"/>
    <row r="76" spans="2:12" ht="12.75" customHeight="1" x14ac:dyDescent="0.25"/>
    <row r="77" spans="2:12" ht="12.75" customHeight="1" x14ac:dyDescent="0.25"/>
    <row r="78" spans="2:12" ht="12.75" customHeight="1" x14ac:dyDescent="0.25"/>
    <row r="79" spans="2:12" ht="12.75" customHeight="1" x14ac:dyDescent="0.25"/>
    <row r="80" spans="2:12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</sheetData>
  <pageMargins left="0.15763888888888888" right="0.15763888888888888" top="0.15763888888888888" bottom="0.15763888888888888" header="0.51180555555555562" footer="0.51180555555555562"/>
  <pageSetup paperSize="9" firstPageNumber="0" orientation="landscape" horizontalDpi="300" verticalDpi="3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SheetLayoutView="75" workbookViewId="0"/>
  </sheetViews>
  <sheetFormatPr defaultRowHeight="12.5" x14ac:dyDescent="0.25"/>
  <cols>
    <col min="1" max="1" width="3" customWidth="1"/>
    <col min="2" max="2" width="30" customWidth="1"/>
    <col min="3" max="3" width="0" hidden="1" customWidth="1"/>
    <col min="4" max="6" width="12.7265625" customWidth="1"/>
    <col min="7" max="7" width="13.54296875" customWidth="1"/>
  </cols>
  <sheetData>
    <row r="1" spans="1:7" ht="15.5" x14ac:dyDescent="0.35">
      <c r="A1" s="26" t="s">
        <v>240</v>
      </c>
      <c r="B1" s="27"/>
    </row>
    <row r="2" spans="1:7" ht="15.5" x14ac:dyDescent="0.35">
      <c r="A2" s="26" t="s">
        <v>197</v>
      </c>
      <c r="B2" s="27"/>
    </row>
    <row r="3" spans="1:7" ht="15.5" x14ac:dyDescent="0.35">
      <c r="A3" s="26" t="s">
        <v>2</v>
      </c>
      <c r="B3" s="27"/>
    </row>
    <row r="4" spans="1:7" x14ac:dyDescent="0.25">
      <c r="A4" s="1"/>
      <c r="B4" s="1"/>
    </row>
    <row r="5" spans="1:7" ht="13" x14ac:dyDescent="0.3">
      <c r="A5" s="1"/>
      <c r="B5" s="1"/>
      <c r="C5" s="8" t="s">
        <v>62</v>
      </c>
      <c r="D5" s="52" t="s">
        <v>198</v>
      </c>
      <c r="E5" s="52" t="s">
        <v>198</v>
      </c>
      <c r="F5" s="52" t="s">
        <v>198</v>
      </c>
      <c r="G5" s="52" t="s">
        <v>198</v>
      </c>
    </row>
    <row r="6" spans="1:7" ht="13" x14ac:dyDescent="0.3">
      <c r="A6" s="9"/>
      <c r="B6" s="9"/>
      <c r="C6" s="7">
        <v>2006</v>
      </c>
      <c r="D6" s="7">
        <v>2007</v>
      </c>
      <c r="E6" s="7">
        <v>2008</v>
      </c>
      <c r="F6" s="7">
        <v>2009</v>
      </c>
      <c r="G6" s="7">
        <v>2010</v>
      </c>
    </row>
    <row r="7" spans="1:7" ht="15.5" x14ac:dyDescent="0.35">
      <c r="A7" s="26" t="s">
        <v>199</v>
      </c>
      <c r="B7" s="1"/>
      <c r="C7" s="25"/>
    </row>
    <row r="8" spans="1:7" x14ac:dyDescent="0.25">
      <c r="A8" s="1"/>
      <c r="B8" s="34" t="s">
        <v>200</v>
      </c>
      <c r="C8" s="25">
        <f>'Bal Sheet 2005_06'!E8</f>
        <v>0</v>
      </c>
      <c r="D8" s="25">
        <f>'Bal Sheet 2006_07'!Q8</f>
        <v>16624.10868336145</v>
      </c>
      <c r="E8" s="25">
        <f>'Bal Sheet 2007_08'!AC8</f>
        <v>13587.748651213829</v>
      </c>
      <c r="F8" s="25">
        <f>'Bal Sheet 2008_09'!AO8</f>
        <v>11105.97367504885</v>
      </c>
      <c r="G8" s="25">
        <f>'Bal Sheet 2009_10'!BA8</f>
        <v>9077.4899092543565</v>
      </c>
    </row>
    <row r="9" spans="1:7" x14ac:dyDescent="0.25">
      <c r="A9" s="1"/>
      <c r="B9" s="34" t="s">
        <v>201</v>
      </c>
      <c r="C9" s="25">
        <f>'Bal Sheet 2005_06'!E9</f>
        <v>0</v>
      </c>
      <c r="D9" s="25">
        <f>'Bal Sheet 2006_07'!Q9</f>
        <v>0</v>
      </c>
      <c r="E9" s="25">
        <f>'Bal Sheet 2007_08'!AC9</f>
        <v>0</v>
      </c>
      <c r="F9" s="25">
        <f>'Bal Sheet 2008_09'!AO9</f>
        <v>0</v>
      </c>
      <c r="G9" s="25">
        <f>'Bal Sheet 2009_10'!BA9</f>
        <v>0</v>
      </c>
    </row>
    <row r="10" spans="1:7" x14ac:dyDescent="0.25">
      <c r="A10" s="1"/>
      <c r="B10" s="34" t="s">
        <v>202</v>
      </c>
      <c r="C10" s="25">
        <f>-(C8+C9)*0.2/12</f>
        <v>0</v>
      </c>
      <c r="D10" s="25">
        <f>'Bal Sheet 2006_07'!Q10</f>
        <v>-277.06847805602416</v>
      </c>
      <c r="E10" s="25">
        <f>'Bal Sheet 2007_08'!AC10</f>
        <v>-226.46247752023052</v>
      </c>
      <c r="F10" s="25">
        <f>'Bal Sheet 2008_09'!AO10</f>
        <v>-185.09956125081419</v>
      </c>
      <c r="G10" s="25">
        <f>'Bal Sheet 2009_10'!BA10</f>
        <v>-151.29149848757262</v>
      </c>
    </row>
    <row r="11" spans="1:7" x14ac:dyDescent="0.25">
      <c r="A11" s="1"/>
      <c r="B11" s="34"/>
      <c r="C11" s="25"/>
      <c r="D11" s="25"/>
      <c r="E11" s="25"/>
      <c r="F11" s="25"/>
      <c r="G11" s="25"/>
    </row>
    <row r="12" spans="1:7" ht="13" x14ac:dyDescent="0.3">
      <c r="A12" s="2"/>
      <c r="B12" s="2"/>
      <c r="C12" s="35">
        <f>SUM(C8:C11)</f>
        <v>0</v>
      </c>
      <c r="D12" s="35">
        <f>SUM(D8:D11)</f>
        <v>16347.040205305426</v>
      </c>
      <c r="E12" s="35">
        <f>SUM(E8:E11)</f>
        <v>13361.286173693599</v>
      </c>
      <c r="F12" s="35">
        <f>SUM(F8:F11)</f>
        <v>10920.874113798036</v>
      </c>
      <c r="G12" s="35">
        <f>SUM(G8:G11)</f>
        <v>8926.1984107667831</v>
      </c>
    </row>
    <row r="13" spans="1:7" x14ac:dyDescent="0.25">
      <c r="A13" s="1"/>
      <c r="B13" s="1"/>
      <c r="C13" s="25"/>
      <c r="D13" s="25"/>
      <c r="E13" s="25"/>
      <c r="F13" s="25"/>
      <c r="G13" s="25"/>
    </row>
    <row r="14" spans="1:7" ht="15.5" x14ac:dyDescent="0.35">
      <c r="A14" s="26" t="s">
        <v>203</v>
      </c>
      <c r="B14" s="1"/>
      <c r="C14" s="25"/>
      <c r="D14" s="25"/>
      <c r="E14" s="25"/>
      <c r="F14" s="25"/>
      <c r="G14" s="25"/>
    </row>
    <row r="15" spans="1:7" ht="15.5" x14ac:dyDescent="0.35">
      <c r="A15" s="26"/>
      <c r="B15" s="1" t="s">
        <v>204</v>
      </c>
      <c r="C15" s="25">
        <f>'Bal Sheet 2005_06'!E15</f>
        <v>300000</v>
      </c>
      <c r="D15" s="25">
        <f>'Bal Sheet 2006_07'!Q15</f>
        <v>300000</v>
      </c>
      <c r="E15" s="25">
        <f>'Bal Sheet 2007_08'!AC15</f>
        <v>300000</v>
      </c>
      <c r="F15" s="25">
        <f>'Bal Sheet 2008_09'!AO15</f>
        <v>300000</v>
      </c>
      <c r="G15" s="25">
        <f>'Bal Sheet 2009_10'!BA15</f>
        <v>300000</v>
      </c>
    </row>
    <row r="16" spans="1:7" ht="15.5" x14ac:dyDescent="0.35">
      <c r="A16" s="26"/>
      <c r="B16" s="1" t="s">
        <v>205</v>
      </c>
      <c r="C16" s="25">
        <f>'Bal Sheet 2005_06'!E16</f>
        <v>0</v>
      </c>
      <c r="D16" s="25">
        <f>'Bal Sheet 2006_07'!Q16</f>
        <v>0</v>
      </c>
      <c r="E16" s="25">
        <f>'Bal Sheet 2007_08'!AC16</f>
        <v>0</v>
      </c>
      <c r="F16" s="25">
        <f>'Bal Sheet 2008_09'!AO16</f>
        <v>0</v>
      </c>
      <c r="G16" s="25">
        <f>'Bal Sheet 2009_10'!BA16</f>
        <v>0</v>
      </c>
    </row>
    <row r="17" spans="1:7" x14ac:dyDescent="0.25">
      <c r="A17" s="13"/>
      <c r="B17" s="61" t="s">
        <v>206</v>
      </c>
      <c r="C17" s="25">
        <f>'Bal Sheet 2005_06'!E17</f>
        <v>1900550.0993992675</v>
      </c>
      <c r="D17" s="25">
        <f>'Bal Sheet 2006_07'!Q17</f>
        <v>1252371.5268954064</v>
      </c>
      <c r="E17" s="25">
        <f>'Bal Sheet 2007_08'!AC17</f>
        <v>1561117.8827900379</v>
      </c>
      <c r="F17" s="25">
        <f>'Bal Sheet 2008_09'!AO17</f>
        <v>4714417.0702764792</v>
      </c>
      <c r="G17" s="25">
        <f>'Bal Sheet 2009_10'!BA17</f>
        <v>8927855.8432509601</v>
      </c>
    </row>
    <row r="18" spans="1:7" x14ac:dyDescent="0.25">
      <c r="A18" s="1"/>
      <c r="B18" s="63"/>
      <c r="C18" s="28">
        <f>SUM(C15:C17)</f>
        <v>2200550.0993992677</v>
      </c>
      <c r="D18" s="28">
        <f>SUM(D15:D17)</f>
        <v>1552371.5268954064</v>
      </c>
      <c r="E18" s="28">
        <f>SUM(E15:E17)</f>
        <v>1861117.8827900379</v>
      </c>
      <c r="F18" s="28">
        <f>SUM(F15:F17)</f>
        <v>5014417.0702764792</v>
      </c>
      <c r="G18" s="28">
        <f>SUM(G15:G17)</f>
        <v>9227855.8432509601</v>
      </c>
    </row>
    <row r="19" spans="1:7" x14ac:dyDescent="0.25">
      <c r="A19" s="1"/>
      <c r="B19" s="61"/>
      <c r="C19" s="25"/>
      <c r="D19" s="25"/>
      <c r="E19" s="25"/>
      <c r="F19" s="25"/>
      <c r="G19" s="25"/>
    </row>
    <row r="20" spans="1:7" ht="15.5" x14ac:dyDescent="0.35">
      <c r="A20" s="26" t="s">
        <v>207</v>
      </c>
      <c r="B20" s="61"/>
      <c r="C20" s="25"/>
      <c r="D20" s="25"/>
      <c r="E20" s="25"/>
      <c r="F20" s="25"/>
      <c r="G20" s="25"/>
    </row>
    <row r="21" spans="1:7" x14ac:dyDescent="0.25">
      <c r="A21" s="1"/>
      <c r="B21" s="61" t="s">
        <v>178</v>
      </c>
      <c r="C21" s="25">
        <f>'Bal Sheet 2005_06'!E21</f>
        <v>-182615.72938461541</v>
      </c>
      <c r="D21" s="25">
        <f>'Bal Sheet 2006_07'!Q21</f>
        <v>-38780.376728656862</v>
      </c>
      <c r="E21" s="25">
        <f>'Bal Sheet 2007_08'!AC21</f>
        <v>352603.97128163074</v>
      </c>
      <c r="F21" s="25">
        <f>'Bal Sheet 2008_09'!AO21</f>
        <v>1512614.3230251025</v>
      </c>
      <c r="G21" s="25">
        <f>'Bal Sheet 2009_10'!BA21</f>
        <v>3236861.5337886703</v>
      </c>
    </row>
    <row r="22" spans="1:7" x14ac:dyDescent="0.25">
      <c r="A22" s="1"/>
      <c r="B22" s="61" t="s">
        <v>208</v>
      </c>
      <c r="C22" s="25">
        <f>'Bal Sheet 2005_06'!E22</f>
        <v>-82373.659794871812</v>
      </c>
      <c r="D22" s="25">
        <f>'Bal Sheet 2006_07'!Q22</f>
        <v>264739.14524999983</v>
      </c>
      <c r="E22" s="25">
        <f>'Bal Sheet 2007_08'!AC22</f>
        <v>304297.16374999983</v>
      </c>
      <c r="F22" s="25">
        <f>'Bal Sheet 2008_09'!AO22</f>
        <v>342025.47937499988</v>
      </c>
      <c r="G22" s="25">
        <f>'Bal Sheet 2009_10'!BA22</f>
        <v>368301.72937500011</v>
      </c>
    </row>
    <row r="23" spans="1:7" x14ac:dyDescent="0.25">
      <c r="A23" s="1"/>
      <c r="B23" s="61" t="s">
        <v>209</v>
      </c>
      <c r="C23" s="25">
        <f>'Bal Sheet 2005_06'!E23</f>
        <v>2800000</v>
      </c>
      <c r="D23" s="25">
        <f>'Bal Sheet 2006_07'!Q23</f>
        <v>1341604.4871367095</v>
      </c>
      <c r="E23" s="25">
        <f>'Bal Sheet 2007_08'!AC23</f>
        <v>44897.119999949144</v>
      </c>
      <c r="F23" s="25">
        <f>'Bal Sheet 2008_09'!AO23</f>
        <v>44897.119999949144</v>
      </c>
      <c r="G23" s="25">
        <f>'Bal Sheet 2009_10'!BA23</f>
        <v>44897.119999949144</v>
      </c>
    </row>
    <row r="24" spans="1:7" x14ac:dyDescent="0.25">
      <c r="A24" s="1"/>
      <c r="B24" s="61"/>
      <c r="C24" s="28">
        <f>SUM(C21:C23)</f>
        <v>2535010.6108205128</v>
      </c>
      <c r="D24" s="28">
        <f>SUM(D21:D23)</f>
        <v>1567563.2556580524</v>
      </c>
      <c r="E24" s="28">
        <f>SUM(E21:E23)</f>
        <v>701798.25503157964</v>
      </c>
      <c r="F24" s="28">
        <f>SUM(F21:F23)</f>
        <v>1899536.9224000515</v>
      </c>
      <c r="G24" s="28">
        <f>SUM(G21:G23)</f>
        <v>3650060.3831636198</v>
      </c>
    </row>
    <row r="25" spans="1:7" x14ac:dyDescent="0.25">
      <c r="A25" s="1"/>
      <c r="B25" s="61"/>
      <c r="C25" s="25"/>
      <c r="D25" s="25"/>
      <c r="E25" s="25"/>
      <c r="F25" s="25"/>
      <c r="G25" s="25"/>
    </row>
    <row r="26" spans="1:7" x14ac:dyDescent="0.25">
      <c r="A26" s="1"/>
      <c r="B26" s="61"/>
      <c r="C26" s="25"/>
      <c r="D26" s="25"/>
      <c r="E26" s="25"/>
      <c r="F26" s="25"/>
      <c r="G26" s="25"/>
    </row>
    <row r="27" spans="1:7" ht="15.5" x14ac:dyDescent="0.35">
      <c r="A27" s="26" t="s">
        <v>210</v>
      </c>
      <c r="B27" s="61"/>
      <c r="C27" s="25">
        <f>C18-C24</f>
        <v>-334460.51142124506</v>
      </c>
      <c r="D27" s="25">
        <f>D18-D24</f>
        <v>-15191.728762645973</v>
      </c>
      <c r="E27" s="25">
        <f>E18-E24</f>
        <v>1159319.6277584583</v>
      </c>
      <c r="F27" s="25">
        <f>F18-F24</f>
        <v>3114880.1478764275</v>
      </c>
      <c r="G27" s="25">
        <f>G18-G24</f>
        <v>5577795.4600873403</v>
      </c>
    </row>
    <row r="28" spans="1:7" x14ac:dyDescent="0.25">
      <c r="A28" s="1"/>
      <c r="B28" s="61"/>
      <c r="C28" s="25"/>
      <c r="D28" s="25"/>
      <c r="E28" s="25"/>
      <c r="F28" s="25"/>
      <c r="G28" s="25"/>
    </row>
    <row r="29" spans="1:7" x14ac:dyDescent="0.25">
      <c r="A29" s="1"/>
      <c r="B29" s="61"/>
      <c r="C29" s="25"/>
      <c r="D29" s="25"/>
      <c r="E29" s="25"/>
      <c r="F29" s="25"/>
      <c r="G29" s="25"/>
    </row>
    <row r="30" spans="1:7" ht="15.5" x14ac:dyDescent="0.35">
      <c r="A30" s="26" t="s">
        <v>211</v>
      </c>
      <c r="B30" s="61"/>
      <c r="C30" s="47">
        <f>C27+C12</f>
        <v>-334460.51142124506</v>
      </c>
      <c r="D30" s="47">
        <f>D27+D12</f>
        <v>1155.311442659453</v>
      </c>
      <c r="E30" s="47">
        <f>E27+E12</f>
        <v>1172680.9139321519</v>
      </c>
      <c r="F30" s="47">
        <f>F27+F12</f>
        <v>3125801.0219902257</v>
      </c>
      <c r="G30" s="47">
        <f>G27+G12</f>
        <v>5586721.6584981075</v>
      </c>
    </row>
    <row r="31" spans="1:7" x14ac:dyDescent="0.25">
      <c r="A31" s="1"/>
      <c r="B31" s="61"/>
      <c r="C31" s="25"/>
      <c r="D31" s="25"/>
      <c r="E31" s="25"/>
      <c r="F31" s="25"/>
      <c r="G31" s="25"/>
    </row>
    <row r="32" spans="1:7" x14ac:dyDescent="0.25">
      <c r="A32" s="1"/>
      <c r="B32" s="1"/>
      <c r="C32" s="25"/>
      <c r="D32" s="25"/>
      <c r="E32" s="25"/>
      <c r="F32" s="25"/>
      <c r="G32" s="25"/>
    </row>
    <row r="33" spans="1:7" ht="15.5" x14ac:dyDescent="0.35">
      <c r="A33" s="1"/>
      <c r="B33" s="27" t="s">
        <v>212</v>
      </c>
      <c r="C33" s="25" t="e">
        <f>'Bal Sheet 2005_06'!E33</f>
        <v>#REF!</v>
      </c>
      <c r="D33" s="25">
        <f>'Bal Sheet Workings'!F33</f>
        <v>100000</v>
      </c>
      <c r="E33" s="25">
        <f>'Bal Sheet Workings'!G33</f>
        <v>100000</v>
      </c>
      <c r="F33" s="25">
        <f>'Bal Sheet Workings'!H33</f>
        <v>100000</v>
      </c>
      <c r="G33" s="25">
        <f>'Bal Sheet Workings'!I33</f>
        <v>100000</v>
      </c>
    </row>
    <row r="34" spans="1:7" x14ac:dyDescent="0.25">
      <c r="A34" s="1"/>
      <c r="B34" s="1"/>
      <c r="C34" s="25"/>
      <c r="D34" s="25"/>
      <c r="E34" s="25"/>
      <c r="F34" s="25"/>
      <c r="G34" s="25"/>
    </row>
    <row r="35" spans="1:7" ht="15.5" x14ac:dyDescent="0.35">
      <c r="A35" s="1"/>
      <c r="B35" s="71" t="s">
        <v>213</v>
      </c>
      <c r="C35" s="25">
        <f>'Bal Sheet 2005_06'!E35</f>
        <v>-426103.36856410257</v>
      </c>
      <c r="D35" s="25">
        <f>'Bal Sheet 2006_07'!Q35</f>
        <v>-90487.545700199276</v>
      </c>
      <c r="E35" s="25">
        <f>'Bal Sheet 2007_08'!AC35</f>
        <v>1081038.0567892909</v>
      </c>
      <c r="F35" s="25">
        <f>'Bal Sheet 2008_09'!AO35</f>
        <v>3034158.1648473651</v>
      </c>
      <c r="G35" s="25">
        <f>'Bal Sheet 2009_10'!BA35</f>
        <v>5495078.8013552446</v>
      </c>
    </row>
    <row r="36" spans="1:7" x14ac:dyDescent="0.25">
      <c r="A36" s="1"/>
      <c r="B36" s="1"/>
      <c r="C36" s="25"/>
      <c r="D36" s="25"/>
      <c r="E36" s="25"/>
      <c r="F36" s="25"/>
      <c r="G36" s="25"/>
    </row>
    <row r="37" spans="1:7" ht="15.5" x14ac:dyDescent="0.35">
      <c r="A37" s="26" t="s">
        <v>214</v>
      </c>
      <c r="B37" s="1"/>
      <c r="C37" s="47" t="e">
        <f>SUM(C33:C35)</f>
        <v>#REF!</v>
      </c>
      <c r="D37" s="47">
        <f>SUM(D33:D35)</f>
        <v>9512.4542998007237</v>
      </c>
      <c r="E37" s="47">
        <f>SUM(E33:E35)</f>
        <v>1181038.0567892909</v>
      </c>
      <c r="F37" s="47">
        <f>SUM(F33:F35)</f>
        <v>3134158.1648473651</v>
      </c>
      <c r="G37" s="47">
        <f>SUM(G33:G35)</f>
        <v>5595078.8013552446</v>
      </c>
    </row>
  </sheetData>
  <pageMargins left="0.74791666666666667" right="0.74791666666666667" top="0.98402777777777783" bottom="0.98402777777777783" header="0.51180555555555562" footer="0.51180555555555562"/>
  <pageSetup paperSize="9" scale="85" firstPageNumber="0" orientation="portrait" horizontalDpi="300" verticalDpi="3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9"/>
  <sheetViews>
    <sheetView zoomScaleSheetLayoutView="75" workbookViewId="0">
      <selection activeCell="E33" sqref="E33"/>
    </sheetView>
  </sheetViews>
  <sheetFormatPr defaultColWidth="9.08984375" defaultRowHeight="12.5" x14ac:dyDescent="0.25"/>
  <cols>
    <col min="1" max="1" width="2.453125" style="1" customWidth="1"/>
    <col min="2" max="2" width="28.81640625" style="1" customWidth="1"/>
    <col min="3" max="4" width="10.7265625" style="25" customWidth="1"/>
    <col min="5" max="5" width="14.81640625" style="25" customWidth="1"/>
    <col min="6" max="53" width="0" style="25" hidden="1" customWidth="1"/>
    <col min="54" max="16384" width="9.08984375" style="1"/>
  </cols>
  <sheetData>
    <row r="1" spans="1:53" ht="15.5" x14ac:dyDescent="0.35">
      <c r="A1" s="26" t="s">
        <v>240</v>
      </c>
      <c r="B1" s="27"/>
    </row>
    <row r="2" spans="1:53" ht="15.5" x14ac:dyDescent="0.35">
      <c r="A2" s="26" t="s">
        <v>197</v>
      </c>
      <c r="B2" s="27"/>
    </row>
    <row r="3" spans="1:53" ht="15.5" x14ac:dyDescent="0.35">
      <c r="A3" s="26" t="s">
        <v>154</v>
      </c>
      <c r="B3" s="27"/>
      <c r="E3" s="60"/>
    </row>
    <row r="5" spans="1:53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</row>
    <row r="6" spans="1:53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</row>
    <row r="7" spans="1:53" ht="15.5" x14ac:dyDescent="0.35">
      <c r="A7" s="26" t="s">
        <v>199</v>
      </c>
    </row>
    <row r="8" spans="1:53" x14ac:dyDescent="0.25">
      <c r="B8" s="34" t="s">
        <v>200</v>
      </c>
      <c r="D8" s="25">
        <f t="shared" ref="D8:AI8" si="0">C12</f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5">
        <f t="shared" si="0"/>
        <v>0</v>
      </c>
      <c r="K8" s="25">
        <f t="shared" si="0"/>
        <v>0</v>
      </c>
      <c r="L8" s="25">
        <f t="shared" si="0"/>
        <v>0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5">
        <f t="shared" si="0"/>
        <v>0</v>
      </c>
      <c r="W8" s="25">
        <f t="shared" si="0"/>
        <v>0</v>
      </c>
      <c r="X8" s="25">
        <f t="shared" si="0"/>
        <v>0</v>
      </c>
      <c r="Y8" s="25">
        <f t="shared" si="0"/>
        <v>0</v>
      </c>
      <c r="Z8" s="25">
        <f t="shared" si="0"/>
        <v>0</v>
      </c>
      <c r="AA8" s="25">
        <f t="shared" si="0"/>
        <v>0</v>
      </c>
      <c r="AB8" s="25">
        <f t="shared" si="0"/>
        <v>0</v>
      </c>
      <c r="AC8" s="25">
        <f t="shared" si="0"/>
        <v>0</v>
      </c>
      <c r="AD8" s="25">
        <f t="shared" si="0"/>
        <v>0</v>
      </c>
      <c r="AE8" s="25">
        <f t="shared" si="0"/>
        <v>0</v>
      </c>
      <c r="AF8" s="25">
        <f t="shared" si="0"/>
        <v>0</v>
      </c>
      <c r="AG8" s="25">
        <f t="shared" si="0"/>
        <v>0</v>
      </c>
      <c r="AH8" s="25">
        <f t="shared" si="0"/>
        <v>0</v>
      </c>
      <c r="AI8" s="25">
        <f t="shared" si="0"/>
        <v>0</v>
      </c>
      <c r="AJ8" s="25">
        <f t="shared" ref="AJ8:BA8" si="1">AI12</f>
        <v>0</v>
      </c>
      <c r="AK8" s="25">
        <f t="shared" si="1"/>
        <v>0</v>
      </c>
      <c r="AL8" s="25">
        <f t="shared" si="1"/>
        <v>0</v>
      </c>
      <c r="AM8" s="25">
        <f t="shared" si="1"/>
        <v>0</v>
      </c>
      <c r="AN8" s="25">
        <f t="shared" si="1"/>
        <v>0</v>
      </c>
      <c r="AO8" s="25">
        <f t="shared" si="1"/>
        <v>0</v>
      </c>
      <c r="AP8" s="25">
        <f t="shared" si="1"/>
        <v>0</v>
      </c>
      <c r="AQ8" s="25">
        <f t="shared" si="1"/>
        <v>0</v>
      </c>
      <c r="AR8" s="25">
        <f t="shared" si="1"/>
        <v>0</v>
      </c>
      <c r="AS8" s="25">
        <f t="shared" si="1"/>
        <v>0</v>
      </c>
      <c r="AT8" s="25">
        <f t="shared" si="1"/>
        <v>0</v>
      </c>
      <c r="AU8" s="25">
        <f t="shared" si="1"/>
        <v>0</v>
      </c>
      <c r="AV8" s="25">
        <f t="shared" si="1"/>
        <v>0</v>
      </c>
      <c r="AW8" s="25">
        <f t="shared" si="1"/>
        <v>0</v>
      </c>
      <c r="AX8" s="25">
        <f t="shared" si="1"/>
        <v>0</v>
      </c>
      <c r="AY8" s="25">
        <f t="shared" si="1"/>
        <v>0</v>
      </c>
      <c r="AZ8" s="25">
        <f t="shared" si="1"/>
        <v>0</v>
      </c>
      <c r="BA8" s="25">
        <f t="shared" si="1"/>
        <v>0</v>
      </c>
    </row>
    <row r="9" spans="1:53" x14ac:dyDescent="0.25">
      <c r="B9" s="34" t="s">
        <v>201</v>
      </c>
    </row>
    <row r="10" spans="1:53" x14ac:dyDescent="0.25">
      <c r="B10" s="34" t="s">
        <v>202</v>
      </c>
      <c r="C10" s="25">
        <f t="shared" ref="C10:AH10" si="2">-(C8+C9)*0.2/12</f>
        <v>0</v>
      </c>
      <c r="D10" s="25">
        <f t="shared" si="2"/>
        <v>0</v>
      </c>
      <c r="E10" s="25">
        <f t="shared" si="2"/>
        <v>0</v>
      </c>
      <c r="F10" s="25">
        <f t="shared" si="2"/>
        <v>0</v>
      </c>
      <c r="G10" s="25">
        <f t="shared" si="2"/>
        <v>0</v>
      </c>
      <c r="H10" s="25">
        <f t="shared" si="2"/>
        <v>0</v>
      </c>
      <c r="I10" s="25">
        <f t="shared" si="2"/>
        <v>0</v>
      </c>
      <c r="J10" s="25">
        <f t="shared" si="2"/>
        <v>0</v>
      </c>
      <c r="K10" s="25">
        <f t="shared" si="2"/>
        <v>0</v>
      </c>
      <c r="L10" s="25">
        <f t="shared" si="2"/>
        <v>0</v>
      </c>
      <c r="M10" s="25">
        <f t="shared" si="2"/>
        <v>0</v>
      </c>
      <c r="N10" s="25">
        <f t="shared" si="2"/>
        <v>0</v>
      </c>
      <c r="O10" s="25">
        <f t="shared" si="2"/>
        <v>0</v>
      </c>
      <c r="P10" s="25">
        <f t="shared" si="2"/>
        <v>0</v>
      </c>
      <c r="Q10" s="25">
        <f t="shared" si="2"/>
        <v>0</v>
      </c>
      <c r="R10" s="25">
        <f t="shared" si="2"/>
        <v>0</v>
      </c>
      <c r="S10" s="25">
        <f t="shared" si="2"/>
        <v>0</v>
      </c>
      <c r="T10" s="25">
        <f t="shared" si="2"/>
        <v>0</v>
      </c>
      <c r="U10" s="25">
        <f t="shared" si="2"/>
        <v>0</v>
      </c>
      <c r="V10" s="25">
        <f t="shared" si="2"/>
        <v>0</v>
      </c>
      <c r="W10" s="25">
        <f t="shared" si="2"/>
        <v>0</v>
      </c>
      <c r="X10" s="25">
        <f t="shared" si="2"/>
        <v>0</v>
      </c>
      <c r="Y10" s="25">
        <f t="shared" si="2"/>
        <v>0</v>
      </c>
      <c r="Z10" s="25">
        <f t="shared" si="2"/>
        <v>0</v>
      </c>
      <c r="AA10" s="25">
        <f t="shared" si="2"/>
        <v>0</v>
      </c>
      <c r="AB10" s="25">
        <f t="shared" si="2"/>
        <v>0</v>
      </c>
      <c r="AC10" s="25">
        <f t="shared" si="2"/>
        <v>0</v>
      </c>
      <c r="AD10" s="25">
        <f t="shared" si="2"/>
        <v>0</v>
      </c>
      <c r="AE10" s="25">
        <f t="shared" si="2"/>
        <v>0</v>
      </c>
      <c r="AF10" s="25">
        <f t="shared" si="2"/>
        <v>0</v>
      </c>
      <c r="AG10" s="25">
        <f t="shared" si="2"/>
        <v>0</v>
      </c>
      <c r="AH10" s="25">
        <f t="shared" si="2"/>
        <v>0</v>
      </c>
      <c r="AI10" s="25">
        <f t="shared" ref="AI10:BA10" si="3">-(AI8+AI9)*0.2/12</f>
        <v>0</v>
      </c>
      <c r="AJ10" s="25">
        <f t="shared" si="3"/>
        <v>0</v>
      </c>
      <c r="AK10" s="25">
        <f t="shared" si="3"/>
        <v>0</v>
      </c>
      <c r="AL10" s="25">
        <f t="shared" si="3"/>
        <v>0</v>
      </c>
      <c r="AM10" s="25">
        <f t="shared" si="3"/>
        <v>0</v>
      </c>
      <c r="AN10" s="25">
        <f t="shared" si="3"/>
        <v>0</v>
      </c>
      <c r="AO10" s="25">
        <f t="shared" si="3"/>
        <v>0</v>
      </c>
      <c r="AP10" s="25">
        <f t="shared" si="3"/>
        <v>0</v>
      </c>
      <c r="AQ10" s="25">
        <f t="shared" si="3"/>
        <v>0</v>
      </c>
      <c r="AR10" s="25">
        <f t="shared" si="3"/>
        <v>0</v>
      </c>
      <c r="AS10" s="25">
        <f t="shared" si="3"/>
        <v>0</v>
      </c>
      <c r="AT10" s="25">
        <f t="shared" si="3"/>
        <v>0</v>
      </c>
      <c r="AU10" s="25">
        <f t="shared" si="3"/>
        <v>0</v>
      </c>
      <c r="AV10" s="25">
        <f t="shared" si="3"/>
        <v>0</v>
      </c>
      <c r="AW10" s="25">
        <f t="shared" si="3"/>
        <v>0</v>
      </c>
      <c r="AX10" s="25">
        <f t="shared" si="3"/>
        <v>0</v>
      </c>
      <c r="AY10" s="25">
        <f t="shared" si="3"/>
        <v>0</v>
      </c>
      <c r="AZ10" s="25">
        <f t="shared" si="3"/>
        <v>0</v>
      </c>
      <c r="BA10" s="25">
        <f t="shared" si="3"/>
        <v>0</v>
      </c>
    </row>
    <row r="11" spans="1:53" x14ac:dyDescent="0.25">
      <c r="B11" s="34"/>
    </row>
    <row r="12" spans="1:53" s="2" customFormat="1" ht="13" x14ac:dyDescent="0.3">
      <c r="C12" s="35">
        <f t="shared" ref="C12:AH12" si="4">SUM(C8:C11)</f>
        <v>0</v>
      </c>
      <c r="D12" s="35">
        <f t="shared" si="4"/>
        <v>0</v>
      </c>
      <c r="E12" s="35">
        <f t="shared" si="4"/>
        <v>0</v>
      </c>
      <c r="F12" s="35">
        <f t="shared" si="4"/>
        <v>0</v>
      </c>
      <c r="G12" s="35">
        <f t="shared" si="4"/>
        <v>0</v>
      </c>
      <c r="H12" s="35">
        <f t="shared" si="4"/>
        <v>0</v>
      </c>
      <c r="I12" s="35">
        <f t="shared" si="4"/>
        <v>0</v>
      </c>
      <c r="J12" s="35">
        <f t="shared" si="4"/>
        <v>0</v>
      </c>
      <c r="K12" s="35">
        <f t="shared" si="4"/>
        <v>0</v>
      </c>
      <c r="L12" s="35">
        <f t="shared" si="4"/>
        <v>0</v>
      </c>
      <c r="M12" s="35">
        <f t="shared" si="4"/>
        <v>0</v>
      </c>
      <c r="N12" s="35">
        <f t="shared" si="4"/>
        <v>0</v>
      </c>
      <c r="O12" s="35">
        <f t="shared" si="4"/>
        <v>0</v>
      </c>
      <c r="P12" s="35">
        <f t="shared" si="4"/>
        <v>0</v>
      </c>
      <c r="Q12" s="35">
        <f t="shared" si="4"/>
        <v>0</v>
      </c>
      <c r="R12" s="35">
        <f t="shared" si="4"/>
        <v>0</v>
      </c>
      <c r="S12" s="35">
        <f t="shared" si="4"/>
        <v>0</v>
      </c>
      <c r="T12" s="35">
        <f t="shared" si="4"/>
        <v>0</v>
      </c>
      <c r="U12" s="35">
        <f t="shared" si="4"/>
        <v>0</v>
      </c>
      <c r="V12" s="35">
        <f t="shared" si="4"/>
        <v>0</v>
      </c>
      <c r="W12" s="35">
        <f t="shared" si="4"/>
        <v>0</v>
      </c>
      <c r="X12" s="35">
        <f t="shared" si="4"/>
        <v>0</v>
      </c>
      <c r="Y12" s="35">
        <f t="shared" si="4"/>
        <v>0</v>
      </c>
      <c r="Z12" s="35">
        <f t="shared" si="4"/>
        <v>0</v>
      </c>
      <c r="AA12" s="35">
        <f t="shared" si="4"/>
        <v>0</v>
      </c>
      <c r="AB12" s="35">
        <f t="shared" si="4"/>
        <v>0</v>
      </c>
      <c r="AC12" s="35">
        <f t="shared" si="4"/>
        <v>0</v>
      </c>
      <c r="AD12" s="35">
        <f t="shared" si="4"/>
        <v>0</v>
      </c>
      <c r="AE12" s="35">
        <f t="shared" si="4"/>
        <v>0</v>
      </c>
      <c r="AF12" s="35">
        <f t="shared" si="4"/>
        <v>0</v>
      </c>
      <c r="AG12" s="35">
        <f t="shared" si="4"/>
        <v>0</v>
      </c>
      <c r="AH12" s="35">
        <f t="shared" si="4"/>
        <v>0</v>
      </c>
      <c r="AI12" s="35">
        <f t="shared" ref="AI12:BA12" si="5">SUM(AI8:AI11)</f>
        <v>0</v>
      </c>
      <c r="AJ12" s="35">
        <f t="shared" si="5"/>
        <v>0</v>
      </c>
      <c r="AK12" s="35">
        <f t="shared" si="5"/>
        <v>0</v>
      </c>
      <c r="AL12" s="35">
        <f t="shared" si="5"/>
        <v>0</v>
      </c>
      <c r="AM12" s="35">
        <f t="shared" si="5"/>
        <v>0</v>
      </c>
      <c r="AN12" s="35">
        <f t="shared" si="5"/>
        <v>0</v>
      </c>
      <c r="AO12" s="35">
        <f t="shared" si="5"/>
        <v>0</v>
      </c>
      <c r="AP12" s="35">
        <f t="shared" si="5"/>
        <v>0</v>
      </c>
      <c r="AQ12" s="35">
        <f t="shared" si="5"/>
        <v>0</v>
      </c>
      <c r="AR12" s="35">
        <f t="shared" si="5"/>
        <v>0</v>
      </c>
      <c r="AS12" s="35">
        <f t="shared" si="5"/>
        <v>0</v>
      </c>
      <c r="AT12" s="35">
        <f t="shared" si="5"/>
        <v>0</v>
      </c>
      <c r="AU12" s="35">
        <f t="shared" si="5"/>
        <v>0</v>
      </c>
      <c r="AV12" s="35">
        <f t="shared" si="5"/>
        <v>0</v>
      </c>
      <c r="AW12" s="35">
        <f t="shared" si="5"/>
        <v>0</v>
      </c>
      <c r="AX12" s="35">
        <f t="shared" si="5"/>
        <v>0</v>
      </c>
      <c r="AY12" s="35">
        <f t="shared" si="5"/>
        <v>0</v>
      </c>
      <c r="AZ12" s="35">
        <f t="shared" si="5"/>
        <v>0</v>
      </c>
      <c r="BA12" s="35">
        <f t="shared" si="5"/>
        <v>0</v>
      </c>
    </row>
    <row r="14" spans="1:53" ht="15.5" x14ac:dyDescent="0.35">
      <c r="A14" s="26" t="s">
        <v>203</v>
      </c>
    </row>
    <row r="15" spans="1:53" ht="15" customHeight="1" x14ac:dyDescent="0.35">
      <c r="A15" s="26"/>
      <c r="B15" s="1" t="s">
        <v>204</v>
      </c>
      <c r="C15" s="25">
        <f>'Cashflow Workings'!C35</f>
        <v>0</v>
      </c>
      <c r="D15" s="25">
        <f>C15+'Cashflow Workings'!D35</f>
        <v>0</v>
      </c>
      <c r="E15" s="25">
        <f>'Bal Sheet Workings'!E15</f>
        <v>300000</v>
      </c>
      <c r="F15" s="25">
        <f>E15+'Cashflow Workings'!E35</f>
        <v>600000</v>
      </c>
      <c r="G15" s="25">
        <f>F15+'Cashflow Workings'!G35</f>
        <v>600000</v>
      </c>
      <c r="H15" s="25">
        <f>G15+'Cashflow Workings'!H35</f>
        <v>600000</v>
      </c>
      <c r="I15" s="25">
        <f>H15+'Cashflow Workings'!I35</f>
        <v>600000</v>
      </c>
      <c r="J15" s="25">
        <f>I15+'Cashflow Workings'!J35</f>
        <v>600000</v>
      </c>
      <c r="K15" s="25">
        <f>J15+'Cashflow Workings'!K35</f>
        <v>600000</v>
      </c>
      <c r="L15" s="25">
        <f>K15+'Cashflow Workings'!L35</f>
        <v>600000</v>
      </c>
      <c r="M15" s="25">
        <f>L15+'Cashflow Workings'!M35</f>
        <v>600000</v>
      </c>
      <c r="N15" s="25">
        <f>M15+'Cashflow Workings'!N35</f>
        <v>600000</v>
      </c>
      <c r="O15" s="25">
        <f>N15+'Cashflow Workings'!O35</f>
        <v>600000</v>
      </c>
      <c r="P15" s="25">
        <f>O15+'Cashflow Workings'!P35</f>
        <v>600000</v>
      </c>
      <c r="Q15" s="25">
        <f>P15+'Cashflow Workings'!Q35</f>
        <v>600000</v>
      </c>
      <c r="R15" s="25">
        <f>Q15+'Cashflow Workings'!R35</f>
        <v>600000</v>
      </c>
      <c r="S15" s="25">
        <f>R15+'Cashflow Workings'!S35</f>
        <v>600000</v>
      </c>
      <c r="T15" s="25">
        <f>S15+'Cashflow Workings'!T35</f>
        <v>600000</v>
      </c>
      <c r="U15" s="25">
        <f>T15+'Cashflow Workings'!U35</f>
        <v>600000</v>
      </c>
      <c r="V15" s="25">
        <f>U15+'Cashflow Workings'!V35</f>
        <v>600000</v>
      </c>
      <c r="W15" s="25">
        <f>V15+'Cashflow Workings'!W35</f>
        <v>600000</v>
      </c>
      <c r="X15" s="25">
        <f>W15+'Cashflow Workings'!X35</f>
        <v>600000</v>
      </c>
      <c r="Y15" s="25">
        <f>X15+'Cashflow Workings'!Y35</f>
        <v>600000</v>
      </c>
      <c r="Z15" s="25">
        <f>Y15+'Cashflow Workings'!Z35</f>
        <v>600000</v>
      </c>
      <c r="AA15" s="25">
        <f>Z15+'Cashflow Workings'!AA35</f>
        <v>600000</v>
      </c>
      <c r="AB15" s="25">
        <f>AA15+'Cashflow Workings'!AB35</f>
        <v>600000</v>
      </c>
      <c r="AC15" s="25">
        <f>AB15+'Cashflow Workings'!AC35</f>
        <v>600000</v>
      </c>
      <c r="AD15" s="25">
        <f>AC15+'Cashflow Workings'!AD35</f>
        <v>600000</v>
      </c>
      <c r="AE15" s="25">
        <f>AD15+'Cashflow Workings'!AE35</f>
        <v>600000</v>
      </c>
      <c r="AF15" s="25">
        <f>AE15+'Cashflow Workings'!AF35</f>
        <v>600000</v>
      </c>
      <c r="AG15" s="25">
        <f>AF15+'Cashflow Workings'!AG35</f>
        <v>600000</v>
      </c>
      <c r="AH15" s="25">
        <f>AG15+'Cashflow Workings'!AH35</f>
        <v>600000</v>
      </c>
      <c r="AI15" s="25">
        <f>AH15+'Cashflow Workings'!AI35</f>
        <v>600000</v>
      </c>
      <c r="AJ15" s="25">
        <f>AI15+'Cashflow Workings'!AJ35</f>
        <v>600000</v>
      </c>
      <c r="AK15" s="25">
        <f>AJ15+'Cashflow Workings'!AK35</f>
        <v>600000</v>
      </c>
      <c r="AL15" s="25">
        <f>AK15+'Cashflow Workings'!AL35</f>
        <v>600000</v>
      </c>
      <c r="AM15" s="25">
        <f>AL15+'Cashflow Workings'!AM35</f>
        <v>600000</v>
      </c>
      <c r="AN15" s="25">
        <f>AM15+'Cashflow Workings'!AN35</f>
        <v>600000</v>
      </c>
      <c r="AO15" s="25">
        <f>AN15+'Cashflow Workings'!AO35</f>
        <v>600000</v>
      </c>
      <c r="AP15" s="25">
        <f>AO15+'Cashflow Workings'!AP35</f>
        <v>600000</v>
      </c>
      <c r="AQ15" s="25">
        <f>AP15+'Cashflow Workings'!AQ35</f>
        <v>600000</v>
      </c>
      <c r="AR15" s="25">
        <f>AQ15+'Cashflow Workings'!AR35</f>
        <v>600000</v>
      </c>
      <c r="AS15" s="25">
        <f>AR15+'Cashflow Workings'!AS35</f>
        <v>600000</v>
      </c>
      <c r="AT15" s="25">
        <f>AS15+'Cashflow Workings'!AT35</f>
        <v>600000</v>
      </c>
      <c r="AU15" s="25">
        <f>AT15+'Cashflow Workings'!AU35</f>
        <v>600000</v>
      </c>
      <c r="AV15" s="25">
        <f>AU15+'Cashflow Workings'!AV35</f>
        <v>600000</v>
      </c>
      <c r="AW15" s="25">
        <f>AV15+'Cashflow Workings'!AW35</f>
        <v>600000</v>
      </c>
      <c r="AX15" s="25">
        <f>AW15+'Cashflow Workings'!AX35</f>
        <v>600000</v>
      </c>
      <c r="AY15" s="25">
        <f>AX15+'Cashflow Workings'!AY35</f>
        <v>600000</v>
      </c>
      <c r="AZ15" s="25">
        <f>AY15+'Cashflow Workings'!AZ35</f>
        <v>600000</v>
      </c>
      <c r="BA15" s="25">
        <f>AZ15+'Cashflow Workings'!BA35</f>
        <v>600000</v>
      </c>
    </row>
    <row r="16" spans="1:53" ht="14.25" customHeight="1" x14ac:dyDescent="0.35">
      <c r="A16" s="26"/>
      <c r="B16" s="1" t="s">
        <v>205</v>
      </c>
      <c r="C16" s="25">
        <f>'Cashflow Workings'!C21</f>
        <v>0</v>
      </c>
      <c r="D16" s="25">
        <f>C16+'Cashflow Workings'!D21-'Cashflow Workings'!D15</f>
        <v>0</v>
      </c>
      <c r="E16" s="25">
        <f>D16+'Cashflow Workings'!E21-'Cashflow Workings'!E15</f>
        <v>0</v>
      </c>
      <c r="F16" s="25">
        <f>E16+'Cashflow Workings'!F21-'Cashflow Workings'!F15</f>
        <v>0</v>
      </c>
      <c r="G16" s="25">
        <f>F16+'Cashflow Workings'!G21-'Cashflow Workings'!G15</f>
        <v>0</v>
      </c>
      <c r="H16" s="25">
        <f>G16+'Cashflow Workings'!H21-'Cashflow Workings'!H15</f>
        <v>0</v>
      </c>
      <c r="I16" s="25">
        <f>H16+'Cashflow Workings'!I21-'Cashflow Workings'!I15</f>
        <v>0</v>
      </c>
      <c r="J16" s="25">
        <f>I16+'Cashflow Workings'!J21-'Cashflow Workings'!J15</f>
        <v>0</v>
      </c>
      <c r="K16" s="25">
        <f>J16+'Cashflow Workings'!K21-'Cashflow Workings'!K15</f>
        <v>0</v>
      </c>
      <c r="L16" s="25">
        <f>K16+'Cashflow Workings'!L21-'Cashflow Workings'!L15</f>
        <v>0</v>
      </c>
      <c r="M16" s="25">
        <f>L16+'Cashflow Workings'!M21-'Cashflow Workings'!M15</f>
        <v>0</v>
      </c>
      <c r="N16" s="25">
        <f>M16+'Cashflow Workings'!N21-'Cashflow Workings'!N15</f>
        <v>0</v>
      </c>
      <c r="O16" s="25">
        <f>N16+'Cashflow Workings'!O21-'Cashflow Workings'!O15</f>
        <v>0</v>
      </c>
      <c r="P16" s="25">
        <f>O16+'Cashflow Workings'!P21-'Cashflow Workings'!P15</f>
        <v>0</v>
      </c>
      <c r="Q16" s="25">
        <f>P16+'Cashflow Workings'!Q21-'Cashflow Workings'!Q15</f>
        <v>0</v>
      </c>
      <c r="R16" s="25">
        <f>Q16+'Cashflow Workings'!R21-'Cashflow Workings'!R15</f>
        <v>0</v>
      </c>
      <c r="S16" s="25">
        <f>R16+'Cashflow Workings'!S21-'Cashflow Workings'!S15</f>
        <v>0</v>
      </c>
      <c r="T16" s="25">
        <f>S16+'Cashflow Workings'!T21-'Cashflow Workings'!T15</f>
        <v>0</v>
      </c>
      <c r="U16" s="25">
        <f>T16+'Cashflow Workings'!U21-'Cashflow Workings'!U15</f>
        <v>0</v>
      </c>
      <c r="V16" s="25">
        <f>U16+'Cashflow Workings'!V21-'Cashflow Workings'!V15</f>
        <v>0</v>
      </c>
      <c r="W16" s="25">
        <f>V16+'Cashflow Workings'!W21-'Cashflow Workings'!W15</f>
        <v>0</v>
      </c>
      <c r="X16" s="25">
        <f>W16+'Cashflow Workings'!X21-'Cashflow Workings'!X15</f>
        <v>0</v>
      </c>
      <c r="Y16" s="25">
        <f>X16+'Cashflow Workings'!Y21-'Cashflow Workings'!Y15</f>
        <v>0</v>
      </c>
      <c r="Z16" s="25">
        <f>Y16+'Cashflow Workings'!Z21-'Cashflow Workings'!Z15</f>
        <v>0</v>
      </c>
      <c r="AA16" s="25">
        <f>Z16+'Cashflow Workings'!AA21-'Cashflow Workings'!AA15</f>
        <v>0</v>
      </c>
      <c r="AB16" s="25">
        <f>AA16+'Cashflow Workings'!AB21-'Cashflow Workings'!AB15</f>
        <v>0</v>
      </c>
      <c r="AC16" s="25">
        <f>AB16+'Cashflow Workings'!AC21-'Cashflow Workings'!AC15</f>
        <v>0</v>
      </c>
      <c r="AD16" s="25">
        <f>AC16+'Cashflow Workings'!AD21-'Cashflow Workings'!AD15</f>
        <v>0</v>
      </c>
      <c r="AE16" s="25">
        <f>AD16+'Cashflow Workings'!AE21-'Cashflow Workings'!AE15</f>
        <v>0</v>
      </c>
      <c r="AF16" s="25">
        <f>AE16+'Cashflow Workings'!AF21-'Cashflow Workings'!AF15</f>
        <v>0</v>
      </c>
      <c r="AG16" s="25">
        <f>AF16+'Cashflow Workings'!AG21-'Cashflow Workings'!AG15</f>
        <v>0</v>
      </c>
      <c r="AH16" s="25">
        <f>AG16+'Cashflow Workings'!AH21-'Cashflow Workings'!AH15</f>
        <v>0</v>
      </c>
      <c r="AI16" s="25">
        <f>AH16+'Cashflow Workings'!AI21-'Cashflow Workings'!AI15</f>
        <v>0</v>
      </c>
      <c r="AJ16" s="25">
        <f>AI16+'Cashflow Workings'!AJ21-'Cashflow Workings'!AJ15</f>
        <v>0</v>
      </c>
      <c r="AK16" s="25">
        <f>AJ16+'Cashflow Workings'!AK21-'Cashflow Workings'!AK15</f>
        <v>0</v>
      </c>
      <c r="AL16" s="25">
        <f>AK16+'Cashflow Workings'!AL21-'Cashflow Workings'!AL15</f>
        <v>0</v>
      </c>
      <c r="AM16" s="25">
        <f>AL16+'Cashflow Workings'!AM21-'Cashflow Workings'!AM15</f>
        <v>0</v>
      </c>
      <c r="AN16" s="25">
        <f>AM16+'Cashflow Workings'!AN21-'Cashflow Workings'!AN15</f>
        <v>0</v>
      </c>
      <c r="AO16" s="25">
        <f>AN16+'Cashflow Workings'!AO21-'Cashflow Workings'!AO15</f>
        <v>0</v>
      </c>
      <c r="AP16" s="25">
        <f>AO16+'Cashflow Workings'!AP21-'Cashflow Workings'!AP15</f>
        <v>0</v>
      </c>
      <c r="AQ16" s="25">
        <f>AP16+'Cashflow Workings'!AQ21-'Cashflow Workings'!AQ15</f>
        <v>0</v>
      </c>
      <c r="AR16" s="25">
        <f>AQ16+'Cashflow Workings'!AR21-'Cashflow Workings'!AR15</f>
        <v>0</v>
      </c>
      <c r="AS16" s="25">
        <f>AR16+'Cashflow Workings'!AS21-'Cashflow Workings'!AS15</f>
        <v>0</v>
      </c>
      <c r="AT16" s="25">
        <f>AS16+'Cashflow Workings'!AT21-'Cashflow Workings'!AT15</f>
        <v>0</v>
      </c>
      <c r="AU16" s="25">
        <f>AT16+'Cashflow Workings'!AU21-'Cashflow Workings'!AU15</f>
        <v>0</v>
      </c>
      <c r="AV16" s="25">
        <f>AU16+'Cashflow Workings'!AV21-'Cashflow Workings'!AV15</f>
        <v>0</v>
      </c>
      <c r="AW16" s="25">
        <f>AV16+'Cashflow Workings'!AW21-'Cashflow Workings'!AW15</f>
        <v>0</v>
      </c>
      <c r="AX16" s="25">
        <f>AW16+'Cashflow Workings'!AX21-'Cashflow Workings'!AX15</f>
        <v>0</v>
      </c>
      <c r="AY16" s="25">
        <f>AX16+'Cashflow Workings'!AY21-'Cashflow Workings'!AY15</f>
        <v>0</v>
      </c>
      <c r="AZ16" s="25">
        <f>AY16+'Cashflow Workings'!AZ21-'Cashflow Workings'!AZ15</f>
        <v>0</v>
      </c>
      <c r="BA16" s="25">
        <f>AZ16+'Cashflow Workings'!BA21-'Cashflow Workings'!BA15</f>
        <v>0</v>
      </c>
    </row>
    <row r="17" spans="1:53" s="13" customFormat="1" ht="12.75" customHeight="1" x14ac:dyDescent="0.25">
      <c r="B17" s="61" t="s">
        <v>206</v>
      </c>
      <c r="C17" s="33">
        <f>'Cashflow Workings'!C50</f>
        <v>0</v>
      </c>
      <c r="D17" s="33">
        <f>'Cashflow Workings'!D50</f>
        <v>0</v>
      </c>
      <c r="E17" s="33">
        <f>'Cashflow Workings'!E50</f>
        <v>1900550.0993992675</v>
      </c>
      <c r="F17" s="33">
        <f>'Cashflow Workings'!F50</f>
        <v>1912904.7984817449</v>
      </c>
      <c r="G17" s="33">
        <f>'Cashflow Workings'!G50</f>
        <v>1970397.1992693506</v>
      </c>
      <c r="H17" s="33">
        <f>'Cashflow Workings'!H50</f>
        <v>1855107.3155569562</v>
      </c>
      <c r="I17" s="33">
        <f>'Cashflow Workings'!I50</f>
        <v>1829484.562219562</v>
      </c>
      <c r="J17" s="33">
        <f>'Cashflow Workings'!J50</f>
        <v>2112280.3401321676</v>
      </c>
      <c r="K17" s="33">
        <f>'Cashflow Workings'!K50</f>
        <v>2142267.0601697732</v>
      </c>
      <c r="L17" s="33">
        <f>'Cashflow Workings'!L50</f>
        <v>1777094.9102073787</v>
      </c>
      <c r="M17" s="33">
        <f>'Cashflow Workings'!M50</f>
        <v>1779575.9494949842</v>
      </c>
      <c r="N17" s="33">
        <f>'Cashflow Workings'!N50</f>
        <v>1875156.5886325897</v>
      </c>
      <c r="O17" s="33">
        <f>'Cashflow Workings'!O50</f>
        <v>1247409.4483201953</v>
      </c>
      <c r="P17" s="33">
        <f>'Cashflow Workings'!P50</f>
        <v>1194879.1261078008</v>
      </c>
      <c r="Q17" s="33">
        <f>'Cashflow Workings'!Q50</f>
        <v>1252371.5268954064</v>
      </c>
      <c r="R17" s="33">
        <f>'Cashflow Workings'!R50</f>
        <v>1090146.0354330121</v>
      </c>
      <c r="S17" s="33">
        <f>'Cashflow Workings'!S50</f>
        <v>1254569.8517206179</v>
      </c>
      <c r="T17" s="33">
        <f>'Cashflow Workings'!T50</f>
        <v>1517953.5192582237</v>
      </c>
      <c r="U17" s="33">
        <f>'Cashflow Workings'!U50</f>
        <v>1532472.1532958292</v>
      </c>
      <c r="V17" s="33">
        <f>'Cashflow Workings'!V50</f>
        <v>1956020.8698334349</v>
      </c>
      <c r="W17" s="33">
        <f>'Cashflow Workings'!W50</f>
        <v>2089489.6048710407</v>
      </c>
      <c r="X17" s="33">
        <f>'Cashflow Workings'!X50</f>
        <v>1809869.0863226359</v>
      </c>
      <c r="Y17" s="33">
        <f>'Cashflow Workings'!Y50</f>
        <v>1912382.7401102413</v>
      </c>
      <c r="Z17" s="33">
        <f>'Cashflow Workings'!Z50</f>
        <v>1928532.6812632317</v>
      </c>
      <c r="AA17" s="33">
        <f>'Cashflow Workings'!AA50</f>
        <v>1325135.4939648267</v>
      </c>
      <c r="AB17" s="33">
        <f>'Cashflow Workings'!AB50</f>
        <v>1396694.0665024321</v>
      </c>
      <c r="AC17" s="33">
        <f>'Cashflow Workings'!AC50</f>
        <v>1561117.8827900379</v>
      </c>
      <c r="AD17" s="33">
        <f>'Cashflow Workings'!AD50</f>
        <v>1637757.9908706937</v>
      </c>
      <c r="AE17" s="33">
        <f>'Cashflow Workings'!AE50</f>
        <v>2053609.7455373607</v>
      </c>
      <c r="AF17" s="33">
        <f>'Cashflow Workings'!AF50</f>
        <v>2535741.1822040277</v>
      </c>
      <c r="AG17" s="33">
        <f>'Cashflow Workings'!AG50</f>
        <v>2752635.6072846837</v>
      </c>
      <c r="AH17" s="33">
        <f>'Cashflow Workings'!AH50</f>
        <v>3398473.7192013506</v>
      </c>
      <c r="AI17" s="33">
        <f>'Cashflow Workings'!AI50</f>
        <v>3743137.0296180174</v>
      </c>
      <c r="AJ17" s="33">
        <f>'Cashflow Workings'!AJ50</f>
        <v>3720159.830426415</v>
      </c>
      <c r="AK17" s="33">
        <f>'Cashflow Workings'!AK50</f>
        <v>4030578.206468082</v>
      </c>
      <c r="AL17" s="33">
        <f>'Cashflow Workings'!AL50</f>
        <v>4446429.9611347485</v>
      </c>
      <c r="AM17" s="33">
        <f>'Cashflow Workings'!AM50</f>
        <v>4093580.318193146</v>
      </c>
      <c r="AN17" s="33">
        <f>'Cashflow Workings'!AN50</f>
        <v>4335508.8254848123</v>
      </c>
      <c r="AO17" s="33">
        <f>'Cashflow Workings'!AO50</f>
        <v>4714417.0702764792</v>
      </c>
      <c r="AP17" s="33">
        <f>'Cashflow Workings'!AP50</f>
        <v>4943896.9324598759</v>
      </c>
      <c r="AQ17" s="33">
        <f>'Cashflow Workings'!AQ50</f>
        <v>5430777.4371265434</v>
      </c>
      <c r="AR17" s="33">
        <f>'Cashflow Workings'!AR50</f>
        <v>5981646.3737932108</v>
      </c>
      <c r="AS17" s="33">
        <f>'Cashflow Workings'!AS50</f>
        <v>6323271.5683516087</v>
      </c>
      <c r="AT17" s="33">
        <f>'Cashflow Workings'!AT50</f>
        <v>7040138.4302682756</v>
      </c>
      <c r="AU17" s="33">
        <f>'Cashflow Workings'!AU50</f>
        <v>7461092.4344349429</v>
      </c>
      <c r="AV17" s="33">
        <f>'Cashflow Workings'!AV50</f>
        <v>7568171.2768221181</v>
      </c>
      <c r="AW17" s="33">
        <f>'Cashflow Workings'!AW50</f>
        <v>7945035.9028637847</v>
      </c>
      <c r="AX17" s="33">
        <f>'Cashflow Workings'!AX50</f>
        <v>8431916.4075304512</v>
      </c>
      <c r="AY17" s="33">
        <f>'Cashflow Workings'!AY50</f>
        <v>8174126.5911676269</v>
      </c>
      <c r="AZ17" s="33">
        <f>'Cashflow Workings'!AZ50</f>
        <v>8477918.8484592941</v>
      </c>
      <c r="BA17" s="33">
        <f>'Cashflow Workings'!BA50</f>
        <v>8927855.8432509601</v>
      </c>
    </row>
    <row r="18" spans="1:53" ht="12.75" customHeight="1" x14ac:dyDescent="0.25">
      <c r="B18" s="63"/>
      <c r="C18" s="28">
        <f t="shared" ref="C18:AH18" si="6">SUM(C15:C17)</f>
        <v>0</v>
      </c>
      <c r="D18" s="28">
        <f t="shared" si="6"/>
        <v>0</v>
      </c>
      <c r="E18" s="28">
        <f t="shared" si="6"/>
        <v>2200550.0993992677</v>
      </c>
      <c r="F18" s="72">
        <f t="shared" si="6"/>
        <v>2512904.7984817447</v>
      </c>
      <c r="G18" s="72">
        <f t="shared" si="6"/>
        <v>2570397.1992693506</v>
      </c>
      <c r="H18" s="72">
        <f t="shared" si="6"/>
        <v>2455107.3155569565</v>
      </c>
      <c r="I18" s="72">
        <f t="shared" si="6"/>
        <v>2429484.562219562</v>
      </c>
      <c r="J18" s="72">
        <f t="shared" si="6"/>
        <v>2712280.3401321676</v>
      </c>
      <c r="K18" s="72">
        <f t="shared" si="6"/>
        <v>2742267.0601697732</v>
      </c>
      <c r="L18" s="72">
        <f t="shared" si="6"/>
        <v>2377094.9102073787</v>
      </c>
      <c r="M18" s="72">
        <f t="shared" si="6"/>
        <v>2379575.949494984</v>
      </c>
      <c r="N18" s="72">
        <f t="shared" si="6"/>
        <v>2475156.5886325897</v>
      </c>
      <c r="O18" s="72">
        <f t="shared" si="6"/>
        <v>1847409.4483201953</v>
      </c>
      <c r="P18" s="72">
        <f t="shared" si="6"/>
        <v>1794879.1261078008</v>
      </c>
      <c r="Q18" s="72">
        <f t="shared" si="6"/>
        <v>1852371.5268954064</v>
      </c>
      <c r="R18" s="72">
        <f t="shared" si="6"/>
        <v>1690146.0354330121</v>
      </c>
      <c r="S18" s="72">
        <f t="shared" si="6"/>
        <v>1854569.8517206179</v>
      </c>
      <c r="T18" s="72">
        <f t="shared" si="6"/>
        <v>2117953.5192582235</v>
      </c>
      <c r="U18" s="72">
        <f t="shared" si="6"/>
        <v>2132472.153295829</v>
      </c>
      <c r="V18" s="72">
        <f t="shared" si="6"/>
        <v>2556020.8698334349</v>
      </c>
      <c r="W18" s="72">
        <f t="shared" si="6"/>
        <v>2689489.6048710407</v>
      </c>
      <c r="X18" s="72">
        <f t="shared" si="6"/>
        <v>2409869.0863226359</v>
      </c>
      <c r="Y18" s="72">
        <f t="shared" si="6"/>
        <v>2512382.7401102413</v>
      </c>
      <c r="Z18" s="72">
        <f t="shared" si="6"/>
        <v>2528532.6812632317</v>
      </c>
      <c r="AA18" s="72">
        <f t="shared" si="6"/>
        <v>1925135.4939648267</v>
      </c>
      <c r="AB18" s="72">
        <f t="shared" si="6"/>
        <v>1996694.0665024321</v>
      </c>
      <c r="AC18" s="72">
        <f t="shared" si="6"/>
        <v>2161117.8827900379</v>
      </c>
      <c r="AD18" s="72">
        <f t="shared" si="6"/>
        <v>2237757.9908706937</v>
      </c>
      <c r="AE18" s="72">
        <f t="shared" si="6"/>
        <v>2653609.7455373607</v>
      </c>
      <c r="AF18" s="72">
        <f t="shared" si="6"/>
        <v>3135741.1822040277</v>
      </c>
      <c r="AG18" s="72">
        <f t="shared" si="6"/>
        <v>3352635.6072846837</v>
      </c>
      <c r="AH18" s="72">
        <f t="shared" si="6"/>
        <v>3998473.7192013506</v>
      </c>
      <c r="AI18" s="72">
        <f t="shared" ref="AI18:BA18" si="7">SUM(AI15:AI17)</f>
        <v>4343137.0296180174</v>
      </c>
      <c r="AJ18" s="72">
        <f t="shared" si="7"/>
        <v>4320159.8304264154</v>
      </c>
      <c r="AK18" s="72">
        <f t="shared" si="7"/>
        <v>4630578.206468082</v>
      </c>
      <c r="AL18" s="72">
        <f t="shared" si="7"/>
        <v>5046429.9611347485</v>
      </c>
      <c r="AM18" s="72">
        <f t="shared" si="7"/>
        <v>4693580.318193146</v>
      </c>
      <c r="AN18" s="72">
        <f t="shared" si="7"/>
        <v>4935508.8254848123</v>
      </c>
      <c r="AO18" s="72">
        <f t="shared" si="7"/>
        <v>5314417.0702764792</v>
      </c>
      <c r="AP18" s="72">
        <f t="shared" si="7"/>
        <v>5543896.9324598759</v>
      </c>
      <c r="AQ18" s="72">
        <f t="shared" si="7"/>
        <v>6030777.4371265434</v>
      </c>
      <c r="AR18" s="72">
        <f t="shared" si="7"/>
        <v>6581646.3737932108</v>
      </c>
      <c r="AS18" s="72">
        <f t="shared" si="7"/>
        <v>6923271.5683516087</v>
      </c>
      <c r="AT18" s="72">
        <f t="shared" si="7"/>
        <v>7640138.4302682756</v>
      </c>
      <c r="AU18" s="72">
        <f t="shared" si="7"/>
        <v>8061092.4344349429</v>
      </c>
      <c r="AV18" s="72">
        <f t="shared" si="7"/>
        <v>8168171.2768221181</v>
      </c>
      <c r="AW18" s="72">
        <f t="shared" si="7"/>
        <v>8545035.9028637856</v>
      </c>
      <c r="AX18" s="72">
        <f t="shared" si="7"/>
        <v>9031916.4075304512</v>
      </c>
      <c r="AY18" s="72">
        <f t="shared" si="7"/>
        <v>8774126.5911676269</v>
      </c>
      <c r="AZ18" s="72">
        <f t="shared" si="7"/>
        <v>9077918.8484592941</v>
      </c>
      <c r="BA18" s="72">
        <f t="shared" si="7"/>
        <v>9527855.8432509601</v>
      </c>
    </row>
    <row r="19" spans="1:53" ht="12.75" customHeight="1" x14ac:dyDescent="0.25">
      <c r="B19" s="61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</row>
    <row r="20" spans="1:53" ht="15.75" customHeight="1" x14ac:dyDescent="0.35">
      <c r="A20" s="26" t="s">
        <v>207</v>
      </c>
      <c r="B20" s="61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</row>
    <row r="21" spans="1:53" ht="12.75" customHeight="1" x14ac:dyDescent="0.25">
      <c r="B21" s="61" t="s">
        <v>178</v>
      </c>
      <c r="C21" s="25">
        <f>-P_L!C78-'Cashflow Workings'!C40</f>
        <v>0</v>
      </c>
      <c r="D21" s="25">
        <f>C21-P_L!D78-'Cashflow Workings'!D40</f>
        <v>0</v>
      </c>
      <c r="E21" s="25">
        <f>D21-P_L!E78-'Cashflow Workings'!E40</f>
        <v>-182615.72938461541</v>
      </c>
      <c r="F21" s="45">
        <f>E21-P_L!F78-'Cashflow Workings'!F40</f>
        <v>-187687.38838461597</v>
      </c>
      <c r="G21" s="45">
        <f>F21-P_L!G78-'Cashflow Workings'!G40</f>
        <v>-177454.88400239343</v>
      </c>
      <c r="H21" s="45">
        <f>G21-P_L!H78-'Cashflow Workings'!H40</f>
        <v>-143517.7507737554</v>
      </c>
      <c r="I21" s="45">
        <f>H21-P_L!I78-'Cashflow Workings'!I40</f>
        <v>-75391.039176282109</v>
      </c>
      <c r="J21" s="45">
        <f>I21-P_L!J78-'Cashflow Workings'!J40</f>
        <v>-7077.6770926992031</v>
      </c>
      <c r="K21" s="45">
        <f>J21-P_L!K78-'Cashflow Workings'!K40</f>
        <v>-2536.2297738425059</v>
      </c>
      <c r="L21" s="45">
        <f>K21-P_L!L78-'Cashflow Workings'!L40</f>
        <v>8629.5651987821238</v>
      </c>
      <c r="M21" s="45">
        <f>L21-P_L!M78-'Cashflow Workings'!M40</f>
        <v>7114.5664508445561</v>
      </c>
      <c r="N21" s="45">
        <f>M21-P_L!N78-'Cashflow Workings'!N40</f>
        <v>28386.299953440357</v>
      </c>
      <c r="O21" s="45">
        <f>N21-P_L!O78-'Cashflow Workings'!O40</f>
        <v>-37099.392338254627</v>
      </c>
      <c r="P21" s="45">
        <f>O21-P_L!P78-'Cashflow Workings'!P40</f>
        <v>-50908.1048459257</v>
      </c>
      <c r="Q21" s="45">
        <f>P21-P_L!Q78-'Cashflow Workings'!Q40</f>
        <v>-38780.376728656862</v>
      </c>
      <c r="R21" s="45">
        <f>Q21-P_L!R78-'Cashflow Workings'!R40</f>
        <v>-13787.355243063994</v>
      </c>
      <c r="S21" s="45">
        <f>R21-P_L!S78-'Cashflow Workings'!S40</f>
        <v>26035.022296975087</v>
      </c>
      <c r="T21" s="45">
        <f>S21-P_L!T78-'Cashflow Workings'!T40</f>
        <v>91909.34556099477</v>
      </c>
      <c r="U21" s="45">
        <f>T21-P_L!U78-'Cashflow Workings'!U40</f>
        <v>198289.08624301912</v>
      </c>
      <c r="V21" s="45">
        <f>U21-P_L!V78-'Cashflow Workings'!V40</f>
        <v>304869.55510304309</v>
      </c>
      <c r="W21" s="45">
        <f>V21-P_L!W78-'Cashflow Workings'!W40</f>
        <v>338176.30100891774</v>
      </c>
      <c r="X21" s="45">
        <f>W21-P_L!X78-'Cashflow Workings'!X40</f>
        <v>414961.19814262871</v>
      </c>
      <c r="Y21" s="45">
        <f>X21-P_L!Y78-'Cashflow Workings'!Y40</f>
        <v>441359.43038703175</v>
      </c>
      <c r="Z21" s="45">
        <f>Y21-P_L!Z78-'Cashflow Workings'!Z40</f>
        <v>308747.99696827051</v>
      </c>
      <c r="AA21" s="45">
        <f>Z21-P_L!AA78-'Cashflow Workings'!AA40</f>
        <v>291040.28154577216</v>
      </c>
      <c r="AB21" s="45">
        <f>AA21-P_L!AB78-'Cashflow Workings'!AB40</f>
        <v>310743.19845649361</v>
      </c>
      <c r="AC21" s="45">
        <f>AB21-P_L!AC78-'Cashflow Workings'!AC40</f>
        <v>352603.97128163074</v>
      </c>
      <c r="AD21" s="45">
        <f>AC21-P_L!AD78-'Cashflow Workings'!AD40</f>
        <v>449184.84301475156</v>
      </c>
      <c r="AE21" s="45">
        <f>AD21-P_L!AE78-'Cashflow Workings'!AE40</f>
        <v>526728.71002439759</v>
      </c>
      <c r="AF21" s="45">
        <f>AE21-P_L!AF78-'Cashflow Workings'!AF40</f>
        <v>621783.44191721629</v>
      </c>
      <c r="AG21" s="45">
        <f>AF21-P_L!AG78-'Cashflow Workings'!AG40</f>
        <v>794008.23960914393</v>
      </c>
      <c r="AH21" s="45">
        <f>AG21-P_L!AH78-'Cashflow Workings'!AH40</f>
        <v>930275.25782828324</v>
      </c>
      <c r="AI21" s="45">
        <f>AH21-P_L!AI78-'Cashflow Workings'!AI40</f>
        <v>990234.9210937703</v>
      </c>
      <c r="AJ21" s="45">
        <f>AI21-P_L!AJ78-'Cashflow Workings'!AJ40</f>
        <v>1183872.2978215632</v>
      </c>
      <c r="AK21" s="45">
        <f>AJ21-P_L!AK78-'Cashflow Workings'!AK40</f>
        <v>1235677.9019166077</v>
      </c>
      <c r="AL21" s="45">
        <f>AK21-P_L!AL78-'Cashflow Workings'!AL40</f>
        <v>1313229.0603684015</v>
      </c>
      <c r="AM21" s="45">
        <f>AL21-P_L!AM78-'Cashflow Workings'!AM40</f>
        <v>1408996.3329460626</v>
      </c>
      <c r="AN21" s="45">
        <f>AM21-P_L!AN78-'Cashflow Workings'!AN40</f>
        <v>1444492.6783934776</v>
      </c>
      <c r="AO21" s="45">
        <f>AN21-P_L!AO78-'Cashflow Workings'!AO40</f>
        <v>1512614.3230251025</v>
      </c>
      <c r="AP21" s="45">
        <f>AO21-P_L!AP78-'Cashflow Workings'!AP40</f>
        <v>1724558.003421264</v>
      </c>
      <c r="AQ21" s="45">
        <f>AP21-P_L!AQ78-'Cashflow Workings'!AQ40</f>
        <v>1820248.8691235378</v>
      </c>
      <c r="AR21" s="45">
        <f>AQ21-P_L!AR78-'Cashflow Workings'!AR40</f>
        <v>1932865.3997307739</v>
      </c>
      <c r="AS21" s="45">
        <f>AR21-P_L!AS78-'Cashflow Workings'!AS40</f>
        <v>2212798.5615946199</v>
      </c>
      <c r="AT21" s="45">
        <f>AS21-P_L!AT78-'Cashflow Workings'!AT40</f>
        <v>2367211.9885151167</v>
      </c>
      <c r="AU21" s="45">
        <f>AT21-P_L!AU78-'Cashflow Workings'!AU40</f>
        <v>2446661.3453369387</v>
      </c>
      <c r="AV21" s="45">
        <f>AU21-P_L!AV78-'Cashflow Workings'!AV40</f>
        <v>2744179.7795989048</v>
      </c>
      <c r="AW21" s="45">
        <f>AV21-P_L!AW78-'Cashflow Workings'!AW40</f>
        <v>2812961.231414672</v>
      </c>
      <c r="AX21" s="45">
        <f>AW21-P_L!AX78-'Cashflow Workings'!AX40</f>
        <v>2908658.0567918429</v>
      </c>
      <c r="AY21" s="45">
        <f>AX21-P_L!AY78-'Cashflow Workings'!AY40</f>
        <v>3099293.0869665686</v>
      </c>
      <c r="AZ21" s="45">
        <f>AY21-P_L!AZ78-'Cashflow Workings'!AZ40</f>
        <v>3150594.7467382164</v>
      </c>
      <c r="BA21" s="45">
        <f>AZ21-P_L!BA78-'Cashflow Workings'!BA40</f>
        <v>3236861.5337886703</v>
      </c>
    </row>
    <row r="22" spans="1:53" ht="12.75" customHeight="1" x14ac:dyDescent="0.25">
      <c r="B22" s="61" t="s">
        <v>208</v>
      </c>
      <c r="C22" s="62">
        <f>'Cashflow Workings'!C55-'Cashflow Workings'!C42</f>
        <v>0</v>
      </c>
      <c r="D22" s="25">
        <f>C22+'Cashflow Workings'!D55-'Cashflow Workings'!D42</f>
        <v>0</v>
      </c>
      <c r="E22" s="25">
        <f>D22+'Cashflow Workings'!E55-'Cashflow Workings'!E42</f>
        <v>-82373.659794871812</v>
      </c>
      <c r="F22" s="45">
        <f>E22+'Cashflow Workings'!F55-'Cashflow Workings'!F42</f>
        <v>55927.217583333288</v>
      </c>
      <c r="G22" s="45">
        <f>F22+'Cashflow Workings'!G55-'Cashflow Workings'!G42</f>
        <v>176462.93666666659</v>
      </c>
      <c r="H22" s="45">
        <f>G22+'Cashflow Workings'!H55-'Cashflow Workings'!H42</f>
        <v>308418.53124999994</v>
      </c>
      <c r="I22" s="45">
        <f>H22+'Cashflow Workings'!I55-'Cashflow Workings'!I42</f>
        <v>154091.54120833328</v>
      </c>
      <c r="J22" s="45">
        <f>I22+'Cashflow Workings'!J55-'Cashflow Workings'!J42</f>
        <v>308183.08241666656</v>
      </c>
      <c r="K22" s="45">
        <f>J22+'Cashflow Workings'!K55-'Cashflow Workings'!K42</f>
        <v>422664.55074999988</v>
      </c>
      <c r="L22" s="45">
        <f>K22+'Cashflow Workings'!L55-'Cashflow Workings'!L42</f>
        <v>120535.71908333327</v>
      </c>
      <c r="M22" s="45">
        <f>L22+'Cashflow Workings'!M55-'Cashflow Workings'!M42</f>
        <v>228962.93666666656</v>
      </c>
      <c r="N22" s="45">
        <f>M22+'Cashflow Workings'!N55-'Cashflow Workings'!N42</f>
        <v>355171.37209999986</v>
      </c>
      <c r="O22" s="45">
        <f>N22+'Cashflow Workings'!O55-'Cashflow Workings'!O42</f>
        <v>47884.710083333252</v>
      </c>
      <c r="P22" s="45">
        <f>O22+'Cashflow Workings'!P55-'Cashflow Workings'!P42</f>
        <v>144203.42616666656</v>
      </c>
      <c r="Q22" s="45">
        <f>P22+'Cashflow Workings'!Q55-'Cashflow Workings'!Q42</f>
        <v>264739.14524999983</v>
      </c>
      <c r="R22" s="45">
        <f>Q22+'Cashflow Workings'!R55-'Cashflow Workings'!R42</f>
        <v>123325.69208333321</v>
      </c>
      <c r="S22" s="45">
        <f>R22+'Cashflow Workings'!S55-'Cashflow Workings'!S42</f>
        <v>259787.36666666655</v>
      </c>
      <c r="T22" s="45">
        <f>S22+'Cashflow Workings'!T55-'Cashflow Workings'!T42</f>
        <v>409030.0824999999</v>
      </c>
      <c r="U22" s="45">
        <f>T22+'Cashflow Workings'!U55-'Cashflow Workings'!U42</f>
        <v>175054.74483333318</v>
      </c>
      <c r="V22" s="45">
        <f>U22+'Cashflow Workings'!V55-'Cashflow Workings'!V42</f>
        <v>350109.48966666649</v>
      </c>
      <c r="W22" s="45">
        <f>V22+'Cashflow Workings'!W55-'Cashflow Workings'!W42</f>
        <v>480003.17299999978</v>
      </c>
      <c r="X22" s="45">
        <f>W22+'Cashflow Workings'!X55-'Cashflow Workings'!X42</f>
        <v>136461.6745833332</v>
      </c>
      <c r="Y22" s="45">
        <f>X22+'Cashflow Workings'!Y55-'Cashflow Workings'!Y42</f>
        <v>259787.36666666652</v>
      </c>
      <c r="Z22" s="45">
        <f>Y22+'Cashflow Workings'!Z55-'Cashflow Workings'!Z42</f>
        <v>401363.78549999988</v>
      </c>
      <c r="AA22" s="45">
        <f>Z22+'Cashflow Workings'!AA55-'Cashflow Workings'!AA42</f>
        <v>51077.788333333214</v>
      </c>
      <c r="AB22" s="45">
        <f>AA22+'Cashflow Workings'!AB55-'Cashflow Workings'!AB42</f>
        <v>167835.48916666649</v>
      </c>
      <c r="AC22" s="45">
        <f>AB22+'Cashflow Workings'!AC55-'Cashflow Workings'!AC42</f>
        <v>304297.16374999983</v>
      </c>
      <c r="AD22" s="45">
        <f>AC22+'Cashflow Workings'!AD55-'Cashflow Workings'!AD42</f>
        <v>142682.30033333314</v>
      </c>
      <c r="AE22" s="45">
        <f>AD22+'Cashflow Workings'!AE55-'Cashflow Workings'!AE42</f>
        <v>299835.52166666649</v>
      </c>
      <c r="AF22" s="45">
        <f>AE22+'Cashflow Workings'!AF55-'Cashflow Workings'!AF42</f>
        <v>464902.52499999979</v>
      </c>
      <c r="AG22" s="45">
        <f>AF22+'Cashflow Workings'!AG55-'Cashflow Workings'!AG42</f>
        <v>191406.50858333323</v>
      </c>
      <c r="AH22" s="45">
        <f>AG22+'Cashflow Workings'!AH55-'Cashflow Workings'!AH42</f>
        <v>382813.01716666657</v>
      </c>
      <c r="AI22" s="45">
        <f>AH22+'Cashflow Workings'!AI55-'Cashflow Workings'!AI42</f>
        <v>527406.0442499998</v>
      </c>
      <c r="AJ22" s="45">
        <f>AI22+'Cashflow Workings'!AJ55-'Cashflow Workings'!AJ42</f>
        <v>151650.99645833322</v>
      </c>
      <c r="AK22" s="45">
        <f>AJ22+'Cashflow Workings'!AK55-'Cashflow Workings'!AK42</f>
        <v>289186.05416666652</v>
      </c>
      <c r="AL22" s="45">
        <f>AK22+'Cashflow Workings'!AL55-'Cashflow Workings'!AL42</f>
        <v>446339.27549999987</v>
      </c>
      <c r="AM22" s="45">
        <f>AL22+'Cashflow Workings'!AM55-'Cashflow Workings'!AM42</f>
        <v>66955.363958333211</v>
      </c>
      <c r="AN22" s="45">
        <f>AM22+'Cashflow Workings'!AN55-'Cashflow Workings'!AN42</f>
        <v>190374.48291666651</v>
      </c>
      <c r="AO22" s="45">
        <f>AN22+'Cashflow Workings'!AO55-'Cashflow Workings'!AO42</f>
        <v>342025.47937499988</v>
      </c>
      <c r="AP22" s="45">
        <f>AO22+'Cashflow Workings'!AP55-'Cashflow Workings'!AP42</f>
        <v>157725.79295833316</v>
      </c>
      <c r="AQ22" s="45">
        <f>AP22+'Cashflow Workings'!AQ55-'Cashflow Workings'!AQ42</f>
        <v>325457.76429166645</v>
      </c>
      <c r="AR22" s="45">
        <f>AQ22+'Cashflow Workings'!AR55-'Cashflow Workings'!AR42</f>
        <v>500762.26762499975</v>
      </c>
      <c r="AS22" s="45">
        <f>AR22+'Cashflow Workings'!AS55-'Cashflow Workings'!AS42</f>
        <v>201985.25858333323</v>
      </c>
      <c r="AT22" s="45">
        <f>AS22+'Cashflow Workings'!AT55-'Cashflow Workings'!AT42</f>
        <v>403970.51716666657</v>
      </c>
      <c r="AU22" s="45">
        <f>AT22+'Cashflow Workings'!AU55-'Cashflow Workings'!AU42</f>
        <v>559925.9879999999</v>
      </c>
      <c r="AV22" s="45">
        <f>AU22+'Cashflow Workings'!AV55-'Cashflow Workings'!AV42</f>
        <v>163392.18833333335</v>
      </c>
      <c r="AW22" s="45">
        <f>AV22+'Cashflow Workings'!AW55-'Cashflow Workings'!AW42</f>
        <v>310823.49604166666</v>
      </c>
      <c r="AX22" s="45">
        <f>AW22+'Cashflow Workings'!AX55-'Cashflow Workings'!AX42</f>
        <v>478555.46737500001</v>
      </c>
      <c r="AY22" s="45">
        <f>AX22+'Cashflow Workings'!AY55-'Cashflow Workings'!AY42</f>
        <v>73439.113958333386</v>
      </c>
      <c r="AZ22" s="45">
        <f>AY22+'Cashflow Workings'!AZ55-'Cashflow Workings'!AZ42</f>
        <v>206071.98291666672</v>
      </c>
      <c r="BA22" s="45">
        <f>AZ22+'Cashflow Workings'!BA55-'Cashflow Workings'!BA42</f>
        <v>368301.72937500011</v>
      </c>
    </row>
    <row r="23" spans="1:53" ht="12.75" customHeight="1" x14ac:dyDescent="0.25">
      <c r="B23" s="61" t="s">
        <v>209</v>
      </c>
      <c r="C23" s="25">
        <f>'Bal Sheet Workings'!C23</f>
        <v>0</v>
      </c>
      <c r="D23" s="25">
        <f>'Bal Sheet Workings'!D23</f>
        <v>0</v>
      </c>
      <c r="E23" s="25">
        <f>'Bal Sheet Workings'!E23</f>
        <v>2800000</v>
      </c>
      <c r="F23" s="25">
        <f>'Bal Sheet Workings'!F23</f>
        <v>2710626.0183709408</v>
      </c>
      <c r="G23" s="25">
        <f>'Bal Sheet Workings'!G23</f>
        <v>2613146.5743566933</v>
      </c>
      <c r="H23" s="25">
        <f>'Bal Sheet Workings'!H23</f>
        <v>2252455.0038173571</v>
      </c>
      <c r="I23" s="25">
        <f>'Bal Sheet Workings'!I23</f>
        <v>2153753.2589621502</v>
      </c>
      <c r="J23" s="25">
        <f>'Bal Sheet Workings'!J23</f>
        <v>2054434.6282015988</v>
      </c>
      <c r="K23" s="25">
        <f>'Bal Sheet Workings'!K23</f>
        <v>1954495.255998794</v>
      </c>
      <c r="L23" s="25">
        <f>'Bal Sheet Workings'!L23</f>
        <v>1853931.2627197218</v>
      </c>
      <c r="M23" s="25">
        <f>'Bal Sheet Workings'!M23</f>
        <v>1752738.7444826555</v>
      </c>
      <c r="N23" s="25">
        <f>'Bal Sheet Workings'!N23</f>
        <v>1650913.773006608</v>
      </c>
      <c r="O23" s="25">
        <f>'Bal Sheet Workings'!O23</f>
        <v>1548452.3954588354</v>
      </c>
      <c r="P23" s="25">
        <f>'Bal Sheet Workings'!P23</f>
        <v>1445350.6343013893</v>
      </c>
      <c r="Q23" s="25">
        <f>'Bal Sheet Workings'!Q23</f>
        <v>1341604.4871367095</v>
      </c>
      <c r="R23" s="25">
        <f>'Bal Sheet Workings'!R23</f>
        <v>1237209.9265522505</v>
      </c>
      <c r="S23" s="25">
        <f>'Bal Sheet Workings'!S23</f>
        <v>1132162.8999641389</v>
      </c>
      <c r="T23" s="25">
        <f>'Bal Sheet Workings'!T23</f>
        <v>1026459.3294598517</v>
      </c>
      <c r="U23" s="25">
        <f>'Bal Sheet Workings'!U23</f>
        <v>920095.11163991282</v>
      </c>
      <c r="V23" s="25">
        <f>'Bal Sheet Workings'!V23</f>
        <v>813066.1174585995</v>
      </c>
      <c r="W23" s="25">
        <f>'Bal Sheet Workings'!W23</f>
        <v>705368.19206365326</v>
      </c>
      <c r="X23" s="25">
        <f>'Bal Sheet Workings'!X23</f>
        <v>596997.15463498875</v>
      </c>
      <c r="Y23" s="25">
        <f>'Bal Sheet Workings'!Y23</f>
        <v>487948.79822239536</v>
      </c>
      <c r="Z23" s="25">
        <f>'Bal Sheet Workings'!Z23</f>
        <v>378218.88958222349</v>
      </c>
      <c r="AA23" s="25">
        <f>'Bal Sheet Workings'!AA23</f>
        <v>267803.16901305073</v>
      </c>
      <c r="AB23" s="25">
        <f>'Bal Sheet Workings'!AB23</f>
        <v>156697.35019032087</v>
      </c>
      <c r="AC23" s="25">
        <f>'Bal Sheet Workings'!AC23</f>
        <v>44897.119999949144</v>
      </c>
      <c r="AD23" s="25">
        <f>'Bal Sheet Workings'!AD23</f>
        <v>44897.119999949144</v>
      </c>
      <c r="AE23" s="25">
        <f>'Bal Sheet Workings'!AE23</f>
        <v>44897.119999949144</v>
      </c>
      <c r="AF23" s="25">
        <f>'Bal Sheet Workings'!AF23</f>
        <v>44897.119999949144</v>
      </c>
      <c r="AG23" s="25">
        <f>'Bal Sheet Workings'!AG23</f>
        <v>44897.119999949144</v>
      </c>
      <c r="AH23" s="25">
        <f>'Bal Sheet Workings'!AH23</f>
        <v>44897.119999949144</v>
      </c>
      <c r="AI23" s="25">
        <f>'Bal Sheet Workings'!AI23</f>
        <v>44897.119999949144</v>
      </c>
      <c r="AJ23" s="25">
        <f>'Bal Sheet Workings'!AJ23</f>
        <v>44897.119999949144</v>
      </c>
      <c r="AK23" s="25">
        <f>'Bal Sheet Workings'!AK23</f>
        <v>44897.119999949144</v>
      </c>
      <c r="AL23" s="25">
        <f>'Bal Sheet Workings'!AL23</f>
        <v>44897.119999949144</v>
      </c>
      <c r="AM23" s="25">
        <f>'Bal Sheet Workings'!AM23</f>
        <v>44897.119999949144</v>
      </c>
      <c r="AN23" s="25">
        <f>'Bal Sheet Workings'!AN23</f>
        <v>44897.119999949144</v>
      </c>
      <c r="AO23" s="25">
        <f>'Bal Sheet Workings'!AO23</f>
        <v>44897.119999949144</v>
      </c>
      <c r="AP23" s="25">
        <f>'Bal Sheet Workings'!AP23</f>
        <v>44897.119999949144</v>
      </c>
      <c r="AQ23" s="25">
        <f>'Bal Sheet Workings'!AQ23</f>
        <v>44897.119999949144</v>
      </c>
      <c r="AR23" s="25">
        <f>'Bal Sheet Workings'!AR23</f>
        <v>44897.119999949144</v>
      </c>
      <c r="AS23" s="25">
        <f>'Bal Sheet Workings'!AS23</f>
        <v>44897.119999949144</v>
      </c>
      <c r="AT23" s="25">
        <f>'Bal Sheet Workings'!AT23</f>
        <v>44897.119999949144</v>
      </c>
      <c r="AU23" s="25">
        <f>'Bal Sheet Workings'!AU23</f>
        <v>44897.119999949144</v>
      </c>
      <c r="AV23" s="25">
        <f>'Bal Sheet Workings'!AV23</f>
        <v>44897.119999949144</v>
      </c>
      <c r="AW23" s="25">
        <f>'Bal Sheet Workings'!AW23</f>
        <v>44897.119999949144</v>
      </c>
      <c r="AX23" s="25">
        <f>'Bal Sheet Workings'!AX23</f>
        <v>44897.119999949144</v>
      </c>
      <c r="AY23" s="25">
        <f>'Bal Sheet Workings'!AY23</f>
        <v>44897.119999949144</v>
      </c>
      <c r="AZ23" s="25">
        <f>'Bal Sheet Workings'!AZ23</f>
        <v>44897.119999949144</v>
      </c>
      <c r="BA23" s="25">
        <f>'Bal Sheet Workings'!BA23</f>
        <v>44897.119999949144</v>
      </c>
    </row>
    <row r="24" spans="1:53" ht="12.75" customHeight="1" x14ac:dyDescent="0.25">
      <c r="B24" s="61"/>
      <c r="C24" s="28">
        <f t="shared" ref="C24:AH24" si="8">SUM(C21:C23)</f>
        <v>0</v>
      </c>
      <c r="D24" s="28">
        <f t="shared" si="8"/>
        <v>0</v>
      </c>
      <c r="E24" s="28">
        <f t="shared" si="8"/>
        <v>2535010.6108205128</v>
      </c>
      <c r="F24" s="72">
        <f t="shared" si="8"/>
        <v>2578865.847569658</v>
      </c>
      <c r="G24" s="72">
        <f t="shared" si="8"/>
        <v>2612154.6270209663</v>
      </c>
      <c r="H24" s="72">
        <f t="shared" si="8"/>
        <v>2417355.7842936018</v>
      </c>
      <c r="I24" s="72">
        <f t="shared" si="8"/>
        <v>2232453.7609942015</v>
      </c>
      <c r="J24" s="72">
        <f t="shared" si="8"/>
        <v>2355540.0335255661</v>
      </c>
      <c r="K24" s="72">
        <f t="shared" si="8"/>
        <v>2374623.5769749512</v>
      </c>
      <c r="L24" s="72">
        <f t="shared" si="8"/>
        <v>1983096.5470018371</v>
      </c>
      <c r="M24" s="72">
        <f t="shared" si="8"/>
        <v>1988816.2476001666</v>
      </c>
      <c r="N24" s="72">
        <f t="shared" si="8"/>
        <v>2034471.4450600483</v>
      </c>
      <c r="O24" s="72">
        <f t="shared" si="8"/>
        <v>1559237.713203914</v>
      </c>
      <c r="P24" s="72">
        <f t="shared" si="8"/>
        <v>1538645.9556221301</v>
      </c>
      <c r="Q24" s="72">
        <f t="shared" si="8"/>
        <v>1567563.2556580524</v>
      </c>
      <c r="R24" s="72">
        <f t="shared" si="8"/>
        <v>1346748.2633925197</v>
      </c>
      <c r="S24" s="72">
        <f t="shared" si="8"/>
        <v>1417985.2889277805</v>
      </c>
      <c r="T24" s="72">
        <f t="shared" si="8"/>
        <v>1527398.7575208463</v>
      </c>
      <c r="U24" s="72">
        <f t="shared" si="8"/>
        <v>1293438.9427162651</v>
      </c>
      <c r="V24" s="72">
        <f t="shared" si="8"/>
        <v>1468045.1622283091</v>
      </c>
      <c r="W24" s="72">
        <f t="shared" si="8"/>
        <v>1523547.6660725707</v>
      </c>
      <c r="X24" s="72">
        <f t="shared" si="8"/>
        <v>1148420.0273609506</v>
      </c>
      <c r="Y24" s="72">
        <f t="shared" si="8"/>
        <v>1189095.5952760936</v>
      </c>
      <c r="Z24" s="72">
        <f t="shared" si="8"/>
        <v>1088330.6720504938</v>
      </c>
      <c r="AA24" s="72">
        <f t="shared" si="8"/>
        <v>609921.23889215617</v>
      </c>
      <c r="AB24" s="72">
        <f t="shared" si="8"/>
        <v>635276.03781348094</v>
      </c>
      <c r="AC24" s="72">
        <f t="shared" si="8"/>
        <v>701798.25503157964</v>
      </c>
      <c r="AD24" s="72">
        <f t="shared" si="8"/>
        <v>636764.26334803388</v>
      </c>
      <c r="AE24" s="72">
        <f t="shared" si="8"/>
        <v>871461.3516910132</v>
      </c>
      <c r="AF24" s="72">
        <f t="shared" si="8"/>
        <v>1131583.0869171652</v>
      </c>
      <c r="AG24" s="72">
        <f t="shared" si="8"/>
        <v>1030311.8681924263</v>
      </c>
      <c r="AH24" s="72">
        <f t="shared" si="8"/>
        <v>1357985.3949948989</v>
      </c>
      <c r="AI24" s="72">
        <f t="shared" ref="AI24:BA24" si="9">SUM(AI21:AI23)</f>
        <v>1562538.0853437192</v>
      </c>
      <c r="AJ24" s="72">
        <f t="shared" si="9"/>
        <v>1380420.4142798455</v>
      </c>
      <c r="AK24" s="72">
        <f t="shared" si="9"/>
        <v>1569761.0760832233</v>
      </c>
      <c r="AL24" s="72">
        <f t="shared" si="9"/>
        <v>1804465.4558683506</v>
      </c>
      <c r="AM24" s="72">
        <f t="shared" si="9"/>
        <v>1520848.8169043448</v>
      </c>
      <c r="AN24" s="72">
        <f t="shared" si="9"/>
        <v>1679764.2813100931</v>
      </c>
      <c r="AO24" s="72">
        <f t="shared" si="9"/>
        <v>1899536.9224000515</v>
      </c>
      <c r="AP24" s="72">
        <f t="shared" si="9"/>
        <v>1927180.9163795463</v>
      </c>
      <c r="AQ24" s="72">
        <f t="shared" si="9"/>
        <v>2190603.7534151538</v>
      </c>
      <c r="AR24" s="72">
        <f t="shared" si="9"/>
        <v>2478524.7873557229</v>
      </c>
      <c r="AS24" s="72">
        <f t="shared" si="9"/>
        <v>2459680.9401779026</v>
      </c>
      <c r="AT24" s="72">
        <f t="shared" si="9"/>
        <v>2816079.6256817328</v>
      </c>
      <c r="AU24" s="72">
        <f t="shared" si="9"/>
        <v>3051484.453336888</v>
      </c>
      <c r="AV24" s="72">
        <f t="shared" si="9"/>
        <v>2952469.0879321876</v>
      </c>
      <c r="AW24" s="72">
        <f t="shared" si="9"/>
        <v>3168681.8474562881</v>
      </c>
      <c r="AX24" s="72">
        <f t="shared" si="9"/>
        <v>3432110.6441667923</v>
      </c>
      <c r="AY24" s="72">
        <f t="shared" si="9"/>
        <v>3217629.3209248516</v>
      </c>
      <c r="AZ24" s="72">
        <f t="shared" si="9"/>
        <v>3401563.8496548324</v>
      </c>
      <c r="BA24" s="72">
        <f t="shared" si="9"/>
        <v>3650060.3831636198</v>
      </c>
    </row>
    <row r="25" spans="1:53" ht="12.75" customHeight="1" x14ac:dyDescent="0.25">
      <c r="B25" s="61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</row>
    <row r="26" spans="1:53" ht="12.75" customHeight="1" x14ac:dyDescent="0.25">
      <c r="B26" s="61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</row>
    <row r="27" spans="1:53" ht="12.75" customHeight="1" x14ac:dyDescent="0.35">
      <c r="A27" s="26" t="s">
        <v>210</v>
      </c>
      <c r="B27" s="61"/>
      <c r="C27" s="25">
        <f t="shared" ref="C27:AH27" si="10">C18-C24</f>
        <v>0</v>
      </c>
      <c r="D27" s="25">
        <f t="shared" si="10"/>
        <v>0</v>
      </c>
      <c r="E27" s="25">
        <f t="shared" si="10"/>
        <v>-334460.51142124506</v>
      </c>
      <c r="F27" s="45">
        <f t="shared" si="10"/>
        <v>-65961.049087913241</v>
      </c>
      <c r="G27" s="45">
        <f t="shared" si="10"/>
        <v>-41757.427751615644</v>
      </c>
      <c r="H27" s="45">
        <f t="shared" si="10"/>
        <v>37751.5312633547</v>
      </c>
      <c r="I27" s="45">
        <f t="shared" si="10"/>
        <v>197030.80122536048</v>
      </c>
      <c r="J27" s="45">
        <f t="shared" si="10"/>
        <v>356740.30660660146</v>
      </c>
      <c r="K27" s="45">
        <f t="shared" si="10"/>
        <v>367643.48319482198</v>
      </c>
      <c r="L27" s="45">
        <f t="shared" si="10"/>
        <v>393998.36320554162</v>
      </c>
      <c r="M27" s="45">
        <f t="shared" si="10"/>
        <v>390759.70189481741</v>
      </c>
      <c r="N27" s="45">
        <f t="shared" si="10"/>
        <v>440685.14357254142</v>
      </c>
      <c r="O27" s="45">
        <f t="shared" si="10"/>
        <v>288171.73511628131</v>
      </c>
      <c r="P27" s="45">
        <f t="shared" si="10"/>
        <v>256233.17048567068</v>
      </c>
      <c r="Q27" s="45">
        <f t="shared" si="10"/>
        <v>284808.27123735403</v>
      </c>
      <c r="R27" s="45">
        <f t="shared" si="10"/>
        <v>343397.77204049239</v>
      </c>
      <c r="S27" s="45">
        <f t="shared" si="10"/>
        <v>436584.56279283739</v>
      </c>
      <c r="T27" s="45">
        <f t="shared" si="10"/>
        <v>590554.76173737715</v>
      </c>
      <c r="U27" s="45">
        <f t="shared" si="10"/>
        <v>839033.21057956386</v>
      </c>
      <c r="V27" s="45">
        <f t="shared" si="10"/>
        <v>1087975.7076051258</v>
      </c>
      <c r="W27" s="45">
        <f t="shared" si="10"/>
        <v>1165941.93879847</v>
      </c>
      <c r="X27" s="45">
        <f t="shared" si="10"/>
        <v>1261449.0589616853</v>
      </c>
      <c r="Y27" s="45">
        <f t="shared" si="10"/>
        <v>1323287.1448341478</v>
      </c>
      <c r="Z27" s="45">
        <f t="shared" si="10"/>
        <v>1440202.0092127379</v>
      </c>
      <c r="AA27" s="45">
        <f t="shared" si="10"/>
        <v>1315214.2550726705</v>
      </c>
      <c r="AB27" s="45">
        <f t="shared" si="10"/>
        <v>1361418.0286889512</v>
      </c>
      <c r="AC27" s="45">
        <f t="shared" si="10"/>
        <v>1459319.6277584583</v>
      </c>
      <c r="AD27" s="45">
        <f t="shared" si="10"/>
        <v>1600993.7275226598</v>
      </c>
      <c r="AE27" s="45">
        <f t="shared" si="10"/>
        <v>1782148.3938463475</v>
      </c>
      <c r="AF27" s="45">
        <f t="shared" si="10"/>
        <v>2004158.0952868625</v>
      </c>
      <c r="AG27" s="45">
        <f t="shared" si="10"/>
        <v>2322323.7390922573</v>
      </c>
      <c r="AH27" s="45">
        <f t="shared" si="10"/>
        <v>2640488.3242064519</v>
      </c>
      <c r="AI27" s="45">
        <f t="shared" ref="AI27:BA27" si="11">AI18-AI24</f>
        <v>2780598.9442742979</v>
      </c>
      <c r="AJ27" s="45">
        <f t="shared" si="11"/>
        <v>2939739.4161465699</v>
      </c>
      <c r="AK27" s="45">
        <f t="shared" si="11"/>
        <v>3060817.1303848587</v>
      </c>
      <c r="AL27" s="45">
        <f t="shared" si="11"/>
        <v>3241964.5052663982</v>
      </c>
      <c r="AM27" s="45">
        <f t="shared" si="11"/>
        <v>3172731.5012888014</v>
      </c>
      <c r="AN27" s="45">
        <f t="shared" si="11"/>
        <v>3255744.5441747191</v>
      </c>
      <c r="AO27" s="45">
        <f t="shared" si="11"/>
        <v>3414880.1478764275</v>
      </c>
      <c r="AP27" s="45">
        <f t="shared" si="11"/>
        <v>3616716.0160803297</v>
      </c>
      <c r="AQ27" s="45">
        <f t="shared" si="11"/>
        <v>3840173.6837113895</v>
      </c>
      <c r="AR27" s="45">
        <f t="shared" si="11"/>
        <v>4103121.586437488</v>
      </c>
      <c r="AS27" s="45">
        <f t="shared" si="11"/>
        <v>4463590.6281737061</v>
      </c>
      <c r="AT27" s="45">
        <f t="shared" si="11"/>
        <v>4824058.8045865428</v>
      </c>
      <c r="AU27" s="45">
        <f t="shared" si="11"/>
        <v>5009607.9810980549</v>
      </c>
      <c r="AV27" s="45">
        <f t="shared" si="11"/>
        <v>5215702.18888993</v>
      </c>
      <c r="AW27" s="45">
        <f t="shared" si="11"/>
        <v>5376354.055407498</v>
      </c>
      <c r="AX27" s="45">
        <f t="shared" si="11"/>
        <v>5599805.7633636594</v>
      </c>
      <c r="AY27" s="45">
        <f t="shared" si="11"/>
        <v>5556497.2702427749</v>
      </c>
      <c r="AZ27" s="45">
        <f t="shared" si="11"/>
        <v>5676354.9988044612</v>
      </c>
      <c r="BA27" s="45">
        <f t="shared" si="11"/>
        <v>5877795.4600873403</v>
      </c>
    </row>
    <row r="28" spans="1:53" ht="12.75" customHeight="1" x14ac:dyDescent="0.25">
      <c r="B28" s="61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</row>
    <row r="29" spans="1:53" ht="12.75" customHeight="1" x14ac:dyDescent="0.25">
      <c r="B29" s="61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</row>
    <row r="30" spans="1:53" ht="15" customHeight="1" x14ac:dyDescent="0.35">
      <c r="A30" s="26" t="s">
        <v>211</v>
      </c>
      <c r="B30" s="61"/>
      <c r="C30" s="47">
        <f t="shared" ref="C30:AH30" si="12">C27+C12</f>
        <v>0</v>
      </c>
      <c r="D30" s="47">
        <f t="shared" si="12"/>
        <v>0</v>
      </c>
      <c r="E30" s="47">
        <f t="shared" si="12"/>
        <v>-334460.51142124506</v>
      </c>
      <c r="F30" s="73">
        <f t="shared" si="12"/>
        <v>-65961.049087913241</v>
      </c>
      <c r="G30" s="73">
        <f t="shared" si="12"/>
        <v>-41757.427751615644</v>
      </c>
      <c r="H30" s="73">
        <f t="shared" si="12"/>
        <v>37751.5312633547</v>
      </c>
      <c r="I30" s="73">
        <f t="shared" si="12"/>
        <v>197030.80122536048</v>
      </c>
      <c r="J30" s="73">
        <f t="shared" si="12"/>
        <v>356740.30660660146</v>
      </c>
      <c r="K30" s="73">
        <f t="shared" si="12"/>
        <v>367643.48319482198</v>
      </c>
      <c r="L30" s="73">
        <f t="shared" si="12"/>
        <v>393998.36320554162</v>
      </c>
      <c r="M30" s="73">
        <f t="shared" si="12"/>
        <v>390759.70189481741</v>
      </c>
      <c r="N30" s="73">
        <f t="shared" si="12"/>
        <v>440685.14357254142</v>
      </c>
      <c r="O30" s="73">
        <f t="shared" si="12"/>
        <v>288171.73511628131</v>
      </c>
      <c r="P30" s="73">
        <f t="shared" si="12"/>
        <v>256233.17048567068</v>
      </c>
      <c r="Q30" s="73">
        <f t="shared" si="12"/>
        <v>284808.27123735403</v>
      </c>
      <c r="R30" s="73">
        <f t="shared" si="12"/>
        <v>343397.77204049239</v>
      </c>
      <c r="S30" s="73">
        <f t="shared" si="12"/>
        <v>436584.56279283739</v>
      </c>
      <c r="T30" s="73">
        <f t="shared" si="12"/>
        <v>590554.76173737715</v>
      </c>
      <c r="U30" s="73">
        <f t="shared" si="12"/>
        <v>839033.21057956386</v>
      </c>
      <c r="V30" s="73">
        <f t="shared" si="12"/>
        <v>1087975.7076051258</v>
      </c>
      <c r="W30" s="73">
        <f t="shared" si="12"/>
        <v>1165941.93879847</v>
      </c>
      <c r="X30" s="73">
        <f t="shared" si="12"/>
        <v>1261449.0589616853</v>
      </c>
      <c r="Y30" s="73">
        <f t="shared" si="12"/>
        <v>1323287.1448341478</v>
      </c>
      <c r="Z30" s="73">
        <f t="shared" si="12"/>
        <v>1440202.0092127379</v>
      </c>
      <c r="AA30" s="73">
        <f t="shared" si="12"/>
        <v>1315214.2550726705</v>
      </c>
      <c r="AB30" s="73">
        <f t="shared" si="12"/>
        <v>1361418.0286889512</v>
      </c>
      <c r="AC30" s="73">
        <f t="shared" si="12"/>
        <v>1459319.6277584583</v>
      </c>
      <c r="AD30" s="73">
        <f t="shared" si="12"/>
        <v>1600993.7275226598</v>
      </c>
      <c r="AE30" s="73">
        <f t="shared" si="12"/>
        <v>1782148.3938463475</v>
      </c>
      <c r="AF30" s="73">
        <f t="shared" si="12"/>
        <v>2004158.0952868625</v>
      </c>
      <c r="AG30" s="73">
        <f t="shared" si="12"/>
        <v>2322323.7390922573</v>
      </c>
      <c r="AH30" s="73">
        <f t="shared" si="12"/>
        <v>2640488.3242064519</v>
      </c>
      <c r="AI30" s="73">
        <f t="shared" ref="AI30:BA30" si="13">AI27+AI12</f>
        <v>2780598.9442742979</v>
      </c>
      <c r="AJ30" s="73">
        <f t="shared" si="13"/>
        <v>2939739.4161465699</v>
      </c>
      <c r="AK30" s="73">
        <f t="shared" si="13"/>
        <v>3060817.1303848587</v>
      </c>
      <c r="AL30" s="73">
        <f t="shared" si="13"/>
        <v>3241964.5052663982</v>
      </c>
      <c r="AM30" s="73">
        <f t="shared" si="13"/>
        <v>3172731.5012888014</v>
      </c>
      <c r="AN30" s="73">
        <f t="shared" si="13"/>
        <v>3255744.5441747191</v>
      </c>
      <c r="AO30" s="73">
        <f t="shared" si="13"/>
        <v>3414880.1478764275</v>
      </c>
      <c r="AP30" s="73">
        <f t="shared" si="13"/>
        <v>3616716.0160803297</v>
      </c>
      <c r="AQ30" s="73">
        <f t="shared" si="13"/>
        <v>3840173.6837113895</v>
      </c>
      <c r="AR30" s="73">
        <f t="shared" si="13"/>
        <v>4103121.586437488</v>
      </c>
      <c r="AS30" s="73">
        <f t="shared" si="13"/>
        <v>4463590.6281737061</v>
      </c>
      <c r="AT30" s="73">
        <f t="shared" si="13"/>
        <v>4824058.8045865428</v>
      </c>
      <c r="AU30" s="73">
        <f t="shared" si="13"/>
        <v>5009607.9810980549</v>
      </c>
      <c r="AV30" s="73">
        <f t="shared" si="13"/>
        <v>5215702.18888993</v>
      </c>
      <c r="AW30" s="73">
        <f t="shared" si="13"/>
        <v>5376354.055407498</v>
      </c>
      <c r="AX30" s="73">
        <f t="shared" si="13"/>
        <v>5599805.7633636594</v>
      </c>
      <c r="AY30" s="73">
        <f t="shared" si="13"/>
        <v>5556497.2702427749</v>
      </c>
      <c r="AZ30" s="73">
        <f t="shared" si="13"/>
        <v>5676354.9988044612</v>
      </c>
      <c r="BA30" s="73">
        <f t="shared" si="13"/>
        <v>5877795.4600873403</v>
      </c>
    </row>
    <row r="31" spans="1:53" ht="12.75" customHeight="1" x14ac:dyDescent="0.25">
      <c r="B31" s="61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</row>
    <row r="32" spans="1:53" ht="12.75" customHeight="1" x14ac:dyDescent="0.25"/>
    <row r="33" spans="1:53" ht="12.75" customHeight="1" x14ac:dyDescent="0.35">
      <c r="B33" s="27" t="s">
        <v>212</v>
      </c>
      <c r="C33" s="25">
        <f>'Cashflow Workings'!C8</f>
        <v>0</v>
      </c>
      <c r="D33" s="25">
        <f>C33+'Cashflow Workings'!D8</f>
        <v>0</v>
      </c>
      <c r="E33" s="25" t="e">
        <f>D33+'Cashflow Workings'!#REF!</f>
        <v>#REF!</v>
      </c>
      <c r="F33" s="25" t="e">
        <f>E33+'Cashflow Workings'!E8</f>
        <v>#REF!</v>
      </c>
      <c r="G33" s="25" t="e">
        <f>F33+'Cashflow Workings'!G8</f>
        <v>#REF!</v>
      </c>
      <c r="H33" s="25" t="e">
        <f>G33+'Cashflow Workings'!H8</f>
        <v>#REF!</v>
      </c>
      <c r="I33" s="25" t="e">
        <f>H33+'Cashflow Workings'!I8</f>
        <v>#REF!</v>
      </c>
      <c r="J33" s="25" t="e">
        <f>I33+'Cashflow Workings'!J8</f>
        <v>#REF!</v>
      </c>
      <c r="K33" s="25" t="e">
        <f>J33+'Cashflow Workings'!K8</f>
        <v>#REF!</v>
      </c>
      <c r="L33" s="25" t="e">
        <f>K33+'Cashflow Workings'!L8</f>
        <v>#REF!</v>
      </c>
      <c r="M33" s="25" t="e">
        <f>L33+'Cashflow Workings'!M8</f>
        <v>#REF!</v>
      </c>
      <c r="N33" s="25" t="e">
        <f>M33+'Cashflow Workings'!N8</f>
        <v>#REF!</v>
      </c>
      <c r="O33" s="25" t="e">
        <f>N33+'Cashflow Workings'!O8</f>
        <v>#REF!</v>
      </c>
      <c r="P33" s="25" t="e">
        <f>O33+'Cashflow Workings'!P8</f>
        <v>#REF!</v>
      </c>
      <c r="Q33" s="25" t="e">
        <f>P33+'Cashflow Workings'!Q8</f>
        <v>#REF!</v>
      </c>
      <c r="R33" s="25" t="e">
        <f>Q33+'Cashflow Workings'!R8</f>
        <v>#REF!</v>
      </c>
      <c r="S33" s="25" t="e">
        <f>R33+'Cashflow Workings'!S8</f>
        <v>#REF!</v>
      </c>
      <c r="T33" s="25" t="e">
        <f>S33+'Cashflow Workings'!T8</f>
        <v>#REF!</v>
      </c>
      <c r="U33" s="25" t="e">
        <f>T33+'Cashflow Workings'!U8</f>
        <v>#REF!</v>
      </c>
      <c r="V33" s="25" t="e">
        <f>U33+'Cashflow Workings'!V8</f>
        <v>#REF!</v>
      </c>
      <c r="W33" s="25" t="e">
        <f>V33+'Cashflow Workings'!W8</f>
        <v>#REF!</v>
      </c>
      <c r="X33" s="25" t="e">
        <f>W33+'Cashflow Workings'!X8</f>
        <v>#REF!</v>
      </c>
      <c r="Y33" s="25" t="e">
        <f>X33+'Cashflow Workings'!Y8</f>
        <v>#REF!</v>
      </c>
      <c r="Z33" s="25" t="e">
        <f>Y33+'Cashflow Workings'!Z8</f>
        <v>#REF!</v>
      </c>
      <c r="AA33" s="25" t="e">
        <f>Z33+'Cashflow Workings'!AA8</f>
        <v>#REF!</v>
      </c>
      <c r="AB33" s="25" t="e">
        <f>AA33+'Cashflow Workings'!AB8</f>
        <v>#REF!</v>
      </c>
      <c r="AC33" s="25" t="e">
        <f>AB33+'Cashflow Workings'!AC8</f>
        <v>#REF!</v>
      </c>
      <c r="AD33" s="25" t="e">
        <f>AC33+'Cashflow Workings'!AD8</f>
        <v>#REF!</v>
      </c>
      <c r="AE33" s="25" t="e">
        <f>AD33+'Cashflow Workings'!AE8</f>
        <v>#REF!</v>
      </c>
      <c r="AF33" s="25" t="e">
        <f>AE33+'Cashflow Workings'!AF8</f>
        <v>#REF!</v>
      </c>
      <c r="AG33" s="25" t="e">
        <f>AF33+'Cashflow Workings'!AG8</f>
        <v>#REF!</v>
      </c>
      <c r="AH33" s="25" t="e">
        <f>AG33+'Cashflow Workings'!AH8</f>
        <v>#REF!</v>
      </c>
      <c r="AI33" s="25" t="e">
        <f>AH33+'Cashflow Workings'!AI8</f>
        <v>#REF!</v>
      </c>
      <c r="AJ33" s="25" t="e">
        <f>AI33+'Cashflow Workings'!AJ8</f>
        <v>#REF!</v>
      </c>
      <c r="AK33" s="25" t="e">
        <f>AJ33+'Cashflow Workings'!AK8</f>
        <v>#REF!</v>
      </c>
      <c r="AL33" s="25" t="e">
        <f>AK33+'Cashflow Workings'!AL8</f>
        <v>#REF!</v>
      </c>
      <c r="AM33" s="25" t="e">
        <f>AL33+'Cashflow Workings'!AM8</f>
        <v>#REF!</v>
      </c>
      <c r="AN33" s="25" t="e">
        <f>AM33+'Cashflow Workings'!AN8</f>
        <v>#REF!</v>
      </c>
      <c r="AO33" s="25" t="e">
        <f>AN33+'Cashflow Workings'!AO8</f>
        <v>#REF!</v>
      </c>
      <c r="AP33" s="25" t="e">
        <f>AO33+'Cashflow Workings'!AP8</f>
        <v>#REF!</v>
      </c>
      <c r="AQ33" s="25" t="e">
        <f>AP33+'Cashflow Workings'!AQ8</f>
        <v>#REF!</v>
      </c>
      <c r="AR33" s="25" t="e">
        <f>AQ33+'Cashflow Workings'!AR8</f>
        <v>#REF!</v>
      </c>
      <c r="AS33" s="25" t="e">
        <f>AR33+'Cashflow Workings'!AS8</f>
        <v>#REF!</v>
      </c>
      <c r="AT33" s="25" t="e">
        <f>AS33+'Cashflow Workings'!AT8</f>
        <v>#REF!</v>
      </c>
      <c r="AU33" s="25" t="e">
        <f>AT33+'Cashflow Workings'!AU8</f>
        <v>#REF!</v>
      </c>
      <c r="AV33" s="25" t="e">
        <f>AU33+'Cashflow Workings'!AV8</f>
        <v>#REF!</v>
      </c>
      <c r="AW33" s="25" t="e">
        <f>AV33+'Cashflow Workings'!AW8</f>
        <v>#REF!</v>
      </c>
      <c r="AX33" s="25" t="e">
        <f>AW33+'Cashflow Workings'!AX8</f>
        <v>#REF!</v>
      </c>
      <c r="AY33" s="25" t="e">
        <f>AX33+'Cashflow Workings'!AY8</f>
        <v>#REF!</v>
      </c>
      <c r="AZ33" s="25" t="e">
        <f>AY33+'Cashflow Workings'!AZ8</f>
        <v>#REF!</v>
      </c>
      <c r="BA33" s="25" t="e">
        <f>AZ33+'Cashflow Workings'!BA8</f>
        <v>#REF!</v>
      </c>
    </row>
    <row r="34" spans="1:53" ht="12.75" customHeight="1" x14ac:dyDescent="0.25"/>
    <row r="35" spans="1:53" ht="12.75" customHeight="1" x14ac:dyDescent="0.35">
      <c r="B35" s="71" t="s">
        <v>213</v>
      </c>
      <c r="C35" s="25">
        <f>P_L!C80</f>
        <v>0</v>
      </c>
      <c r="D35" s="25">
        <f>C35+P_L!D80</f>
        <v>0</v>
      </c>
      <c r="E35" s="25">
        <f>D35+P_L!E80</f>
        <v>-426103.36856410257</v>
      </c>
      <c r="F35" s="25">
        <f>E35+P_L!F80</f>
        <v>-437937.23956410389</v>
      </c>
      <c r="G35" s="25">
        <f>F35+P_L!G80</f>
        <v>-414061.39600558463</v>
      </c>
      <c r="H35" s="25">
        <f>G35+P_L!H80</f>
        <v>-334874.75180542917</v>
      </c>
      <c r="I35" s="25">
        <f>H35+P_L!I80</f>
        <v>-175912.42474465817</v>
      </c>
      <c r="J35" s="25">
        <f>I35+P_L!J80</f>
        <v>-16514.579882964725</v>
      </c>
      <c r="K35" s="25">
        <f>J35+P_L!K80</f>
        <v>-5917.8694722990967</v>
      </c>
      <c r="L35" s="25">
        <f>K35+P_L!L80</f>
        <v>20135.652130491704</v>
      </c>
      <c r="M35" s="25">
        <f>L35+P_L!M80</f>
        <v>16600.655051970713</v>
      </c>
      <c r="N35" s="25">
        <f>M35+P_L!N80</f>
        <v>66234.699891360913</v>
      </c>
      <c r="O35" s="25">
        <f>N35+P_L!O80</f>
        <v>-86565.248789260717</v>
      </c>
      <c r="P35" s="25">
        <f>O35+P_L!P80</f>
        <v>-118785.57797382656</v>
      </c>
      <c r="Q35" s="25">
        <f>P35+P_L!Q80</f>
        <v>-90487.545700199276</v>
      </c>
      <c r="R35" s="25">
        <f>Q35+P_L!R80</f>
        <v>-32170.49556714925</v>
      </c>
      <c r="S35" s="25">
        <f>R35+P_L!S80</f>
        <v>60748.385359608626</v>
      </c>
      <c r="T35" s="25">
        <f>S35+P_L!T80</f>
        <v>214455.13964232121</v>
      </c>
      <c r="U35" s="25">
        <f>T35+P_L!U80</f>
        <v>462674.5345670447</v>
      </c>
      <c r="V35" s="25">
        <f>U35+P_L!V80</f>
        <v>711362.29524043389</v>
      </c>
      <c r="W35" s="25">
        <f>V35+P_L!W80</f>
        <v>789078.03568747465</v>
      </c>
      <c r="X35" s="25">
        <f>W35+P_L!X80</f>
        <v>884338.83995015861</v>
      </c>
      <c r="Y35" s="25">
        <f>X35+P_L!Y80</f>
        <v>945934.71518709906</v>
      </c>
      <c r="Z35" s="25">
        <f>Y35+P_L!Z80</f>
        <v>1062611.4057740921</v>
      </c>
      <c r="AA35" s="25">
        <f>Z35+P_L!AA80</f>
        <v>937389.44740562083</v>
      </c>
      <c r="AB35" s="25">
        <f>AA35+P_L!AB80</f>
        <v>983362.92019730422</v>
      </c>
      <c r="AC35" s="25">
        <f>AB35+P_L!AC80</f>
        <v>1081038.0567892909</v>
      </c>
      <c r="AD35" s="25">
        <f>AC35+P_L!AD80</f>
        <v>1222489.4684505977</v>
      </c>
      <c r="AE35" s="25">
        <f>AD35+P_L!AE80</f>
        <v>1403425.1581397718</v>
      </c>
      <c r="AF35" s="25">
        <f>AE35+P_L!AF80</f>
        <v>1625219.5325563487</v>
      </c>
      <c r="AG35" s="25">
        <f>AF35+P_L!AG80</f>
        <v>1943173.4381215381</v>
      </c>
      <c r="AH35" s="25">
        <f>AG35+P_L!AH80</f>
        <v>2261129.8139661965</v>
      </c>
      <c r="AI35" s="25">
        <f>AH35+P_L!AI80</f>
        <v>2401035.6949189994</v>
      </c>
      <c r="AJ35" s="25">
        <f>AI35+P_L!AJ80</f>
        <v>2559974.8399948115</v>
      </c>
      <c r="AK35" s="25">
        <f>AJ35+P_L!AK80</f>
        <v>2680854.5828832486</v>
      </c>
      <c r="AL35" s="25">
        <f>AK35+P_L!AL80</f>
        <v>2861807.2859374341</v>
      </c>
      <c r="AM35" s="25">
        <f>AL35+P_L!AM80</f>
        <v>2792382.8546629385</v>
      </c>
      <c r="AN35" s="25">
        <f>AM35+P_L!AN80</f>
        <v>2875207.660706907</v>
      </c>
      <c r="AO35" s="25">
        <f>AN35+P_L!AO80</f>
        <v>3034158.1648473651</v>
      </c>
      <c r="AP35" s="25">
        <f>AO35+P_L!AP80</f>
        <v>3235812.0184827042</v>
      </c>
      <c r="AQ35" s="25">
        <f>AP35+P_L!AQ80</f>
        <v>3459090.705121343</v>
      </c>
      <c r="AR35" s="25">
        <f>AQ35+P_L!AR80</f>
        <v>3721862.6098715602</v>
      </c>
      <c r="AS35" s="25">
        <f>AR35+P_L!AS80</f>
        <v>4082158.5869314959</v>
      </c>
      <c r="AT35" s="25">
        <f>AS35+P_L!AT80</f>
        <v>4442456.5830793222</v>
      </c>
      <c r="AU35" s="25">
        <f>AT35+P_L!AU80</f>
        <v>4627838.415663573</v>
      </c>
      <c r="AV35" s="25">
        <f>AU35+P_L!AV80</f>
        <v>4833768.0685936417</v>
      </c>
      <c r="AW35" s="25">
        <f>AV35+P_L!AW80</f>
        <v>4994258.1228304319</v>
      </c>
      <c r="AX35" s="25">
        <f>AW35+P_L!AX80</f>
        <v>5217550.7153771641</v>
      </c>
      <c r="AY35" s="25">
        <f>AX35+P_L!AY80</f>
        <v>5174085.7587703401</v>
      </c>
      <c r="AZ35" s="25">
        <f>AY35+P_L!AZ80</f>
        <v>5293789.6315708524</v>
      </c>
      <c r="BA35" s="25">
        <f>AZ35+P_L!BA80</f>
        <v>5495078.8013552446</v>
      </c>
    </row>
    <row r="36" spans="1:53" ht="12.75" customHeight="1" x14ac:dyDescent="0.25"/>
    <row r="37" spans="1:53" ht="14.25" customHeight="1" x14ac:dyDescent="0.35">
      <c r="A37" s="26" t="s">
        <v>214</v>
      </c>
      <c r="C37" s="47">
        <f t="shared" ref="C37:AH37" si="14">SUM(C33:C35)</f>
        <v>0</v>
      </c>
      <c r="D37" s="47">
        <f t="shared" si="14"/>
        <v>0</v>
      </c>
      <c r="E37" s="47" t="e">
        <f t="shared" si="14"/>
        <v>#REF!</v>
      </c>
      <c r="F37" s="47" t="e">
        <f t="shared" si="14"/>
        <v>#REF!</v>
      </c>
      <c r="G37" s="47" t="e">
        <f t="shared" si="14"/>
        <v>#REF!</v>
      </c>
      <c r="H37" s="47" t="e">
        <f t="shared" si="14"/>
        <v>#REF!</v>
      </c>
      <c r="I37" s="47" t="e">
        <f t="shared" si="14"/>
        <v>#REF!</v>
      </c>
      <c r="J37" s="47" t="e">
        <f t="shared" si="14"/>
        <v>#REF!</v>
      </c>
      <c r="K37" s="47" t="e">
        <f t="shared" si="14"/>
        <v>#REF!</v>
      </c>
      <c r="L37" s="47" t="e">
        <f t="shared" si="14"/>
        <v>#REF!</v>
      </c>
      <c r="M37" s="47" t="e">
        <f t="shared" si="14"/>
        <v>#REF!</v>
      </c>
      <c r="N37" s="47" t="e">
        <f t="shared" si="14"/>
        <v>#REF!</v>
      </c>
      <c r="O37" s="47" t="e">
        <f t="shared" si="14"/>
        <v>#REF!</v>
      </c>
      <c r="P37" s="47" t="e">
        <f t="shared" si="14"/>
        <v>#REF!</v>
      </c>
      <c r="Q37" s="47" t="e">
        <f t="shared" si="14"/>
        <v>#REF!</v>
      </c>
      <c r="R37" s="47" t="e">
        <f t="shared" si="14"/>
        <v>#REF!</v>
      </c>
      <c r="S37" s="47" t="e">
        <f t="shared" si="14"/>
        <v>#REF!</v>
      </c>
      <c r="T37" s="47" t="e">
        <f t="shared" si="14"/>
        <v>#REF!</v>
      </c>
      <c r="U37" s="47" t="e">
        <f t="shared" si="14"/>
        <v>#REF!</v>
      </c>
      <c r="V37" s="47" t="e">
        <f t="shared" si="14"/>
        <v>#REF!</v>
      </c>
      <c r="W37" s="47" t="e">
        <f t="shared" si="14"/>
        <v>#REF!</v>
      </c>
      <c r="X37" s="47" t="e">
        <f t="shared" si="14"/>
        <v>#REF!</v>
      </c>
      <c r="Y37" s="47" t="e">
        <f t="shared" si="14"/>
        <v>#REF!</v>
      </c>
      <c r="Z37" s="47" t="e">
        <f t="shared" si="14"/>
        <v>#REF!</v>
      </c>
      <c r="AA37" s="47" t="e">
        <f t="shared" si="14"/>
        <v>#REF!</v>
      </c>
      <c r="AB37" s="47" t="e">
        <f t="shared" si="14"/>
        <v>#REF!</v>
      </c>
      <c r="AC37" s="47" t="e">
        <f t="shared" si="14"/>
        <v>#REF!</v>
      </c>
      <c r="AD37" s="47" t="e">
        <f t="shared" si="14"/>
        <v>#REF!</v>
      </c>
      <c r="AE37" s="47" t="e">
        <f t="shared" si="14"/>
        <v>#REF!</v>
      </c>
      <c r="AF37" s="47" t="e">
        <f t="shared" si="14"/>
        <v>#REF!</v>
      </c>
      <c r="AG37" s="47" t="e">
        <f t="shared" si="14"/>
        <v>#REF!</v>
      </c>
      <c r="AH37" s="47" t="e">
        <f t="shared" si="14"/>
        <v>#REF!</v>
      </c>
      <c r="AI37" s="47" t="e">
        <f t="shared" ref="AI37:BA37" si="15">SUM(AI33:AI35)</f>
        <v>#REF!</v>
      </c>
      <c r="AJ37" s="47" t="e">
        <f t="shared" si="15"/>
        <v>#REF!</v>
      </c>
      <c r="AK37" s="47" t="e">
        <f t="shared" si="15"/>
        <v>#REF!</v>
      </c>
      <c r="AL37" s="47" t="e">
        <f t="shared" si="15"/>
        <v>#REF!</v>
      </c>
      <c r="AM37" s="47" t="e">
        <f t="shared" si="15"/>
        <v>#REF!</v>
      </c>
      <c r="AN37" s="47" t="e">
        <f t="shared" si="15"/>
        <v>#REF!</v>
      </c>
      <c r="AO37" s="47" t="e">
        <f t="shared" si="15"/>
        <v>#REF!</v>
      </c>
      <c r="AP37" s="47" t="e">
        <f t="shared" si="15"/>
        <v>#REF!</v>
      </c>
      <c r="AQ37" s="47" t="e">
        <f t="shared" si="15"/>
        <v>#REF!</v>
      </c>
      <c r="AR37" s="47" t="e">
        <f t="shared" si="15"/>
        <v>#REF!</v>
      </c>
      <c r="AS37" s="47" t="e">
        <f t="shared" si="15"/>
        <v>#REF!</v>
      </c>
      <c r="AT37" s="47" t="e">
        <f t="shared" si="15"/>
        <v>#REF!</v>
      </c>
      <c r="AU37" s="47" t="e">
        <f t="shared" si="15"/>
        <v>#REF!</v>
      </c>
      <c r="AV37" s="47" t="e">
        <f t="shared" si="15"/>
        <v>#REF!</v>
      </c>
      <c r="AW37" s="47" t="e">
        <f t="shared" si="15"/>
        <v>#REF!</v>
      </c>
      <c r="AX37" s="47" t="e">
        <f t="shared" si="15"/>
        <v>#REF!</v>
      </c>
      <c r="AY37" s="47" t="e">
        <f t="shared" si="15"/>
        <v>#REF!</v>
      </c>
      <c r="AZ37" s="47" t="e">
        <f t="shared" si="15"/>
        <v>#REF!</v>
      </c>
      <c r="BA37" s="47" t="e">
        <f t="shared" si="15"/>
        <v>#REF!</v>
      </c>
    </row>
    <row r="38" spans="1:53" ht="12.75" customHeight="1" x14ac:dyDescent="0.25"/>
    <row r="39" spans="1:53" ht="12.75" customHeight="1" x14ac:dyDescent="0.25"/>
    <row r="40" spans="1:53" ht="12.75" customHeight="1" x14ac:dyDescent="0.25"/>
    <row r="41" spans="1:53" ht="12.75" customHeight="1" x14ac:dyDescent="0.25"/>
    <row r="42" spans="1:53" ht="12.75" customHeight="1" x14ac:dyDescent="0.25"/>
    <row r="43" spans="1:53" ht="12.75" customHeight="1" x14ac:dyDescent="0.25"/>
    <row r="44" spans="1:53" ht="12.75" customHeight="1" x14ac:dyDescent="0.25"/>
    <row r="45" spans="1:53" ht="12.75" customHeight="1" x14ac:dyDescent="0.25"/>
    <row r="46" spans="1:53" ht="12.75" customHeight="1" x14ac:dyDescent="0.25"/>
    <row r="47" spans="1:53" ht="12.75" customHeight="1" x14ac:dyDescent="0.25"/>
    <row r="48" spans="1:5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208"/>
  <sheetViews>
    <sheetView zoomScaleSheetLayoutView="75" workbookViewId="0">
      <pane xSplit="2" ySplit="7" topLeftCell="D8" activePane="bottomRight" state="frozen"/>
      <selection pane="topRight" activeCell="C1" sqref="C1"/>
      <selection pane="bottomLeft" activeCell="A64" sqref="A64"/>
      <selection pane="bottomRight"/>
    </sheetView>
  </sheetViews>
  <sheetFormatPr defaultRowHeight="13" x14ac:dyDescent="0.3"/>
  <cols>
    <col min="1" max="1" width="2.453125" customWidth="1"/>
    <col min="2" max="2" width="28.81640625" customWidth="1"/>
    <col min="3" max="3" width="0" style="1" hidden="1" customWidth="1"/>
    <col min="4" max="4" width="14.08984375" style="1" customWidth="1"/>
    <col min="5" max="5" width="15.08984375" style="2" customWidth="1"/>
    <col min="6" max="6" width="14.453125" customWidth="1"/>
    <col min="7" max="7" width="14.54296875" style="3" customWidth="1"/>
    <col min="8" max="8" width="3.7265625" customWidth="1"/>
    <col min="9" max="9" width="14.81640625" style="3" customWidth="1"/>
  </cols>
  <sheetData>
    <row r="1" spans="1:9" ht="15.5" x14ac:dyDescent="0.35">
      <c r="A1" s="4" t="s">
        <v>240</v>
      </c>
      <c r="B1" s="5"/>
    </row>
    <row r="2" spans="1:9" ht="15.5" x14ac:dyDescent="0.35">
      <c r="A2" s="4" t="s">
        <v>1</v>
      </c>
      <c r="B2" s="5"/>
    </row>
    <row r="3" spans="1:9" ht="15.5" x14ac:dyDescent="0.35">
      <c r="A3" s="4" t="s">
        <v>2</v>
      </c>
      <c r="B3" s="5"/>
    </row>
    <row r="5" spans="1:9" s="1" customFormat="1" x14ac:dyDescent="0.3">
      <c r="B5" s="6" t="s">
        <v>238</v>
      </c>
      <c r="C5" s="7">
        <v>2006</v>
      </c>
      <c r="D5" s="7">
        <v>2007</v>
      </c>
      <c r="E5" s="7">
        <v>2008</v>
      </c>
      <c r="F5" s="7">
        <v>2009</v>
      </c>
      <c r="G5" s="7">
        <v>2010</v>
      </c>
      <c r="I5" s="8" t="s">
        <v>3</v>
      </c>
    </row>
    <row r="6" spans="1:9" s="9" customFormat="1" x14ac:dyDescent="0.3">
      <c r="B6" s="9" t="s">
        <v>4</v>
      </c>
      <c r="C6" s="10" t="s">
        <v>5</v>
      </c>
      <c r="D6" s="11" t="s">
        <v>6</v>
      </c>
      <c r="E6" s="11" t="s">
        <v>6</v>
      </c>
      <c r="F6" s="11" t="s">
        <v>6</v>
      </c>
      <c r="G6" s="11" t="s">
        <v>6</v>
      </c>
      <c r="I6" s="7"/>
    </row>
    <row r="7" spans="1:9" s="9" customFormat="1" ht="15.5" x14ac:dyDescent="0.35">
      <c r="A7" s="4" t="s">
        <v>7</v>
      </c>
      <c r="C7" s="7"/>
      <c r="D7" s="7"/>
      <c r="E7" s="7"/>
      <c r="G7" s="12"/>
      <c r="I7" s="12"/>
    </row>
    <row r="8" spans="1:9" x14ac:dyDescent="0.3">
      <c r="B8" t="s">
        <v>8</v>
      </c>
      <c r="C8" s="13">
        <f>'P_L 2005_06'!G8</f>
        <v>329000</v>
      </c>
      <c r="D8" s="13">
        <f>'P_L 2006_07'!P8</f>
        <v>17245723.100000001</v>
      </c>
      <c r="E8" s="13">
        <f>'P_L 2007_08'!P8</f>
        <v>18284274.974999998</v>
      </c>
      <c r="F8" s="13">
        <f>'P_L 2008_09'!P8</f>
        <v>19337584.699999999</v>
      </c>
      <c r="G8" s="13">
        <f>'P_L 2009_10'!P8</f>
        <v>20058011.375</v>
      </c>
      <c r="I8" s="2">
        <f t="shared" ref="I8:I17" si="0">SUM(C8:G8)</f>
        <v>75254594.150000006</v>
      </c>
    </row>
    <row r="9" spans="1:9" x14ac:dyDescent="0.3">
      <c r="B9" t="s">
        <v>9</v>
      </c>
      <c r="C9" s="13">
        <f>'P_L 2005_06'!G9</f>
        <v>2310</v>
      </c>
      <c r="D9" s="13">
        <f>'P_L 2006_07'!P9</f>
        <v>159209.18200000003</v>
      </c>
      <c r="E9" s="13">
        <f>'P_L 2007_08'!P9</f>
        <v>213232.19499999998</v>
      </c>
      <c r="F9" s="13">
        <f>'P_L 2008_09'!P9</f>
        <v>222660.29499999998</v>
      </c>
      <c r="G9" s="13">
        <f>'P_L 2009_10'!P9</f>
        <v>227217.21</v>
      </c>
      <c r="I9" s="2">
        <f t="shared" si="0"/>
        <v>824628.88199999998</v>
      </c>
    </row>
    <row r="10" spans="1:9" hidden="1" x14ac:dyDescent="0.3">
      <c r="B10" t="s">
        <v>10</v>
      </c>
      <c r="C10" s="13">
        <f>'P_L 2005_06'!G10</f>
        <v>0</v>
      </c>
      <c r="D10" s="13">
        <f>'P_L 2006_07'!P10</f>
        <v>0</v>
      </c>
      <c r="E10" s="13">
        <f>'P_L 2007_08'!P10</f>
        <v>0</v>
      </c>
      <c r="F10" s="13">
        <f>'P_L 2008_09'!P10</f>
        <v>0</v>
      </c>
      <c r="G10" s="13">
        <f>'P_L 2009_10'!P10</f>
        <v>0</v>
      </c>
      <c r="I10" s="2">
        <f t="shared" si="0"/>
        <v>0</v>
      </c>
    </row>
    <row r="11" spans="1:9" hidden="1" x14ac:dyDescent="0.3">
      <c r="B11" t="s">
        <v>11</v>
      </c>
      <c r="C11" s="13">
        <f>'P_L 2005_06'!G11</f>
        <v>0</v>
      </c>
      <c r="D11" s="13">
        <f>'P_L 2006_07'!P11</f>
        <v>0</v>
      </c>
      <c r="E11" s="13">
        <f>'P_L 2007_08'!P11</f>
        <v>0</v>
      </c>
      <c r="F11" s="13">
        <f>'P_L 2008_09'!P11</f>
        <v>0</v>
      </c>
      <c r="G11" s="13">
        <f>'P_L 2009_10'!P11</f>
        <v>0</v>
      </c>
      <c r="I11" s="2">
        <f t="shared" si="0"/>
        <v>0</v>
      </c>
    </row>
    <row r="12" spans="1:9" hidden="1" x14ac:dyDescent="0.3">
      <c r="B12" t="s">
        <v>12</v>
      </c>
      <c r="C12" s="13">
        <f>'P_L 2005_06'!G12</f>
        <v>0</v>
      </c>
      <c r="D12" s="13">
        <f>'P_L 2006_07'!P12</f>
        <v>0</v>
      </c>
      <c r="E12" s="13">
        <f>'P_L 2007_08'!P12</f>
        <v>0</v>
      </c>
      <c r="F12" s="13">
        <f>'P_L 2008_09'!P12</f>
        <v>0</v>
      </c>
      <c r="G12" s="13">
        <f>'P_L 2009_10'!P12</f>
        <v>0</v>
      </c>
      <c r="I12" s="2">
        <f t="shared" si="0"/>
        <v>0</v>
      </c>
    </row>
    <row r="13" spans="1:9" hidden="1" x14ac:dyDescent="0.3">
      <c r="B13" t="s">
        <v>13</v>
      </c>
      <c r="C13" s="13">
        <f>'P_L 2005_06'!G13</f>
        <v>0</v>
      </c>
      <c r="D13" s="13">
        <f>'P_L 2006_07'!P13</f>
        <v>0</v>
      </c>
      <c r="E13" s="13">
        <f>'P_L 2007_08'!P13</f>
        <v>0</v>
      </c>
      <c r="F13" s="13">
        <f>'P_L 2008_09'!P13</f>
        <v>0</v>
      </c>
      <c r="G13" s="13">
        <f>'P_L 2009_10'!P13</f>
        <v>0</v>
      </c>
      <c r="I13" s="2">
        <f t="shared" si="0"/>
        <v>0</v>
      </c>
    </row>
    <row r="14" spans="1:9" hidden="1" x14ac:dyDescent="0.3">
      <c r="B14" t="s">
        <v>14</v>
      </c>
      <c r="C14" s="13">
        <f>'P_L 2005_06'!G14</f>
        <v>0</v>
      </c>
      <c r="D14" s="13">
        <f>'P_L 2006_07'!P14</f>
        <v>0</v>
      </c>
      <c r="E14" s="13">
        <f>'P_L 2007_08'!P14</f>
        <v>0</v>
      </c>
      <c r="F14" s="13">
        <f>'P_L 2008_09'!P14</f>
        <v>0</v>
      </c>
      <c r="G14" s="13">
        <f>'P_L 2009_10'!P14</f>
        <v>0</v>
      </c>
      <c r="I14" s="2">
        <f t="shared" si="0"/>
        <v>0</v>
      </c>
    </row>
    <row r="15" spans="1:9" hidden="1" x14ac:dyDescent="0.3">
      <c r="B15" t="s">
        <v>15</v>
      </c>
      <c r="C15" s="13">
        <f>'P_L 2005_06'!G15</f>
        <v>0</v>
      </c>
      <c r="D15" s="13">
        <f>'P_L 2006_07'!P15</f>
        <v>0</v>
      </c>
      <c r="E15" s="13">
        <f>'P_L 2007_08'!P15</f>
        <v>0</v>
      </c>
      <c r="F15" s="13">
        <f>'P_L 2008_09'!P15</f>
        <v>0</v>
      </c>
      <c r="G15" s="13">
        <f>'P_L 2009_10'!P15</f>
        <v>0</v>
      </c>
      <c r="I15" s="2">
        <f t="shared" si="0"/>
        <v>0</v>
      </c>
    </row>
    <row r="16" spans="1:9" hidden="1" x14ac:dyDescent="0.3">
      <c r="B16" t="s">
        <v>16</v>
      </c>
      <c r="C16" s="13">
        <f>'P_L 2005_06'!G16</f>
        <v>0</v>
      </c>
      <c r="D16" s="13">
        <f>'P_L 2006_07'!P16</f>
        <v>0</v>
      </c>
      <c r="E16" s="13">
        <f>'P_L 2007_08'!P16</f>
        <v>0</v>
      </c>
      <c r="F16" s="13">
        <f>'P_L 2008_09'!P16</f>
        <v>0</v>
      </c>
      <c r="G16" s="13">
        <f>'P_L 2009_10'!P16</f>
        <v>0</v>
      </c>
      <c r="I16" s="2">
        <f t="shared" si="0"/>
        <v>0</v>
      </c>
    </row>
    <row r="17" spans="1:9" x14ac:dyDescent="0.3">
      <c r="B17" t="s">
        <v>17</v>
      </c>
      <c r="C17" s="13">
        <f>'P_L 2005_06'!G17</f>
        <v>0</v>
      </c>
      <c r="D17" s="13">
        <f>'P_L 2006_07'!P17</f>
        <v>245000</v>
      </c>
      <c r="E17" s="13">
        <f>'P_L 2007_08'!P17</f>
        <v>245000</v>
      </c>
      <c r="F17" s="13">
        <f>'P_L 2008_09'!P17</f>
        <v>245000</v>
      </c>
      <c r="G17" s="13">
        <f>'P_L 2009_10'!P17</f>
        <v>245000</v>
      </c>
      <c r="I17" s="2">
        <f t="shared" si="0"/>
        <v>980000</v>
      </c>
    </row>
    <row r="18" spans="1:9" ht="14" x14ac:dyDescent="0.3">
      <c r="A18" s="14" t="s">
        <v>18</v>
      </c>
      <c r="C18" s="15">
        <f>SUM(C8:C17)</f>
        <v>331310</v>
      </c>
      <c r="D18" s="15">
        <f>SUM(D8:D17)</f>
        <v>17649932.282000002</v>
      </c>
      <c r="E18" s="15">
        <f>SUM(E8:E17)</f>
        <v>18742507.169999998</v>
      </c>
      <c r="F18" s="15">
        <f>SUM(F8:F17)</f>
        <v>19805244.995000001</v>
      </c>
      <c r="G18" s="15">
        <f>SUM(G8:G17)</f>
        <v>20530228.585000001</v>
      </c>
      <c r="I18" s="15">
        <f>SUM(I8:I17)</f>
        <v>77059223.032000005</v>
      </c>
    </row>
    <row r="19" spans="1:9" x14ac:dyDescent="0.3">
      <c r="C19" s="13"/>
      <c r="D19" s="13"/>
      <c r="E19" s="16"/>
      <c r="F19" s="16"/>
      <c r="G19" s="16"/>
    </row>
    <row r="20" spans="1:9" ht="15.5" x14ac:dyDescent="0.35">
      <c r="A20" s="4" t="s">
        <v>19</v>
      </c>
      <c r="C20" s="13"/>
      <c r="D20" s="13"/>
      <c r="E20" s="16"/>
      <c r="F20" s="16"/>
      <c r="G20" s="16"/>
    </row>
    <row r="21" spans="1:9" ht="6" customHeight="1" x14ac:dyDescent="0.35">
      <c r="A21" s="4"/>
      <c r="C21" s="13"/>
      <c r="D21" s="13"/>
      <c r="E21" s="16"/>
      <c r="F21" s="16"/>
      <c r="G21" s="16"/>
    </row>
    <row r="22" spans="1:9" ht="15.5" x14ac:dyDescent="0.35">
      <c r="A22" s="17" t="s">
        <v>20</v>
      </c>
      <c r="C22" s="13"/>
      <c r="D22" s="13"/>
      <c r="E22" s="16"/>
      <c r="F22" s="16"/>
      <c r="G22" s="16"/>
    </row>
    <row r="23" spans="1:9" x14ac:dyDescent="0.3">
      <c r="B23" t="s">
        <v>21</v>
      </c>
      <c r="C23" s="18">
        <f>'P_L 2005_06'!G23</f>
        <v>0</v>
      </c>
      <c r="D23" s="18">
        <f>'P_L 2006_07'!P23</f>
        <v>0</v>
      </c>
      <c r="E23" s="18">
        <f>'P_L 2007_08'!P23</f>
        <v>0</v>
      </c>
      <c r="F23" s="18">
        <f>'P_L 2008_09'!P23</f>
        <v>0</v>
      </c>
      <c r="G23" s="18">
        <f>'P_L 2009_10'!P23</f>
        <v>0</v>
      </c>
      <c r="I23" s="18">
        <f>SUM(C23:G23)</f>
        <v>0</v>
      </c>
    </row>
    <row r="24" spans="1:9" hidden="1" x14ac:dyDescent="0.3">
      <c r="B24" t="s">
        <v>16</v>
      </c>
      <c r="C24" s="13"/>
      <c r="D24" s="13"/>
      <c r="E24" s="13"/>
      <c r="F24" s="13"/>
      <c r="G24" s="13"/>
    </row>
    <row r="25" spans="1:9" hidden="1" x14ac:dyDescent="0.3">
      <c r="B25" t="s">
        <v>22</v>
      </c>
      <c r="C25" s="13"/>
      <c r="D25" s="13"/>
      <c r="E25" s="13"/>
      <c r="F25" s="13"/>
      <c r="G25" s="13"/>
    </row>
    <row r="26" spans="1:9" ht="14" hidden="1" x14ac:dyDescent="0.3">
      <c r="B26" s="19" t="s">
        <v>3</v>
      </c>
      <c r="C26" s="16"/>
      <c r="D26" s="16"/>
      <c r="E26" s="16"/>
      <c r="F26" s="16"/>
      <c r="G26" s="16"/>
    </row>
    <row r="27" spans="1:9" ht="6" customHeight="1" x14ac:dyDescent="0.3">
      <c r="C27" s="13"/>
      <c r="D27" s="13"/>
      <c r="E27" s="13"/>
      <c r="F27" s="13"/>
      <c r="G27" s="13"/>
    </row>
    <row r="28" spans="1:9" ht="15.5" x14ac:dyDescent="0.35">
      <c r="A28" s="17" t="s">
        <v>23</v>
      </c>
      <c r="C28" s="13"/>
      <c r="D28" s="13"/>
      <c r="E28" s="13"/>
      <c r="F28" s="13"/>
      <c r="G28" s="13"/>
    </row>
    <row r="29" spans="1:9" x14ac:dyDescent="0.3">
      <c r="B29" t="s">
        <v>9</v>
      </c>
      <c r="C29" s="18">
        <f>'P_L 2005_06'!G29</f>
        <v>0</v>
      </c>
      <c r="D29" s="18">
        <f>'P_L 2006_07'!P29</f>
        <v>250000</v>
      </c>
      <c r="E29" s="18">
        <f>'P_L 2007_08'!P29</f>
        <v>250000</v>
      </c>
      <c r="F29" s="18">
        <f>'P_L 2008_09'!P29</f>
        <v>250000</v>
      </c>
      <c r="G29" s="18">
        <f>'P_L 2009_10'!P29</f>
        <v>250000</v>
      </c>
      <c r="I29" s="18">
        <f>SUM(C29:G29)</f>
        <v>1000000</v>
      </c>
    </row>
    <row r="30" spans="1:9" ht="14" hidden="1" x14ac:dyDescent="0.3">
      <c r="B30" s="19" t="s">
        <v>3</v>
      </c>
      <c r="C30" s="16"/>
      <c r="D30" s="16"/>
      <c r="E30" s="16"/>
      <c r="F30" s="16"/>
      <c r="G30" s="16"/>
    </row>
    <row r="31" spans="1:9" ht="6" customHeight="1" x14ac:dyDescent="0.3">
      <c r="C31" s="13"/>
      <c r="D31" s="13"/>
      <c r="E31" s="13"/>
      <c r="F31" s="13"/>
      <c r="G31" s="13"/>
    </row>
    <row r="32" spans="1:9" ht="15.5" x14ac:dyDescent="0.35">
      <c r="A32" s="17" t="s">
        <v>24</v>
      </c>
      <c r="C32" s="13"/>
      <c r="D32" s="13"/>
      <c r="E32" s="13"/>
      <c r="F32" s="13"/>
      <c r="G32" s="13"/>
    </row>
    <row r="33" spans="1:9" x14ac:dyDescent="0.3">
      <c r="B33" t="s">
        <v>25</v>
      </c>
      <c r="C33" s="13">
        <f>'P_L 2005_06'!G33</f>
        <v>110302.19230769231</v>
      </c>
      <c r="D33" s="13">
        <f>'P_L 2006_07'!P33</f>
        <v>5735714.0000000009</v>
      </c>
      <c r="E33" s="13">
        <f>'P_L 2007_08'!P33</f>
        <v>5735714.0000000009</v>
      </c>
      <c r="F33" s="13">
        <f>'P_L 2008_09'!P33</f>
        <v>5735714.0000000009</v>
      </c>
      <c r="G33" s="13">
        <f>'P_L 2009_10'!P33</f>
        <v>5735714.0000000009</v>
      </c>
      <c r="I33" s="2">
        <f t="shared" ref="I33:I45" si="1">SUM(C33:G33)</f>
        <v>23053158.192307696</v>
      </c>
    </row>
    <row r="34" spans="1:9" x14ac:dyDescent="0.3">
      <c r="B34" t="s">
        <v>26</v>
      </c>
      <c r="C34" s="13">
        <f>'P_L 2005_06'!G34</f>
        <v>4807.6923076923076</v>
      </c>
      <c r="D34" s="13">
        <f>'P_L 2006_07'!P34</f>
        <v>250000.00000000003</v>
      </c>
      <c r="E34" s="13">
        <f>'P_L 2007_08'!P34</f>
        <v>250000.00000000003</v>
      </c>
      <c r="F34" s="13">
        <f>'P_L 2008_09'!P34</f>
        <v>250000.00000000003</v>
      </c>
      <c r="G34" s="13">
        <f>'P_L 2009_10'!P34</f>
        <v>250000.00000000003</v>
      </c>
      <c r="I34" s="2">
        <f t="shared" si="1"/>
        <v>1004807.6923076924</v>
      </c>
    </row>
    <row r="35" spans="1:9" x14ac:dyDescent="0.3">
      <c r="B35" t="s">
        <v>27</v>
      </c>
      <c r="C35" s="13">
        <f>'P_L 2005_06'!G35</f>
        <v>61623.380000000005</v>
      </c>
      <c r="D35" s="13">
        <f>'P_L 2006_07'!P35</f>
        <v>3081169.0000000005</v>
      </c>
      <c r="E35" s="13">
        <f>'P_L 2007_08'!P35</f>
        <v>3081169.0000000005</v>
      </c>
      <c r="F35" s="13">
        <f>'P_L 2008_09'!P35</f>
        <v>3081169.0000000005</v>
      </c>
      <c r="G35" s="13">
        <f>'P_L 2009_10'!P35</f>
        <v>3081169.0000000005</v>
      </c>
      <c r="I35" s="2">
        <f t="shared" si="1"/>
        <v>12386299.380000001</v>
      </c>
    </row>
    <row r="36" spans="1:9" x14ac:dyDescent="0.3">
      <c r="B36" t="s">
        <v>28</v>
      </c>
      <c r="C36" s="13">
        <f>'P_L 2005_06'!G36</f>
        <v>3645.8333333333335</v>
      </c>
      <c r="D36" s="13">
        <f>'P_L 2006_07'!P36</f>
        <v>175000.00000000003</v>
      </c>
      <c r="E36" s="13">
        <f>'P_L 2007_08'!P36</f>
        <v>175000.00000000003</v>
      </c>
      <c r="F36" s="13">
        <f>'P_L 2008_09'!P36</f>
        <v>175000.00000000003</v>
      </c>
      <c r="G36" s="13">
        <f>'P_L 2009_10'!P36</f>
        <v>175000.00000000003</v>
      </c>
      <c r="I36" s="2">
        <f t="shared" si="1"/>
        <v>703645.83333333337</v>
      </c>
    </row>
    <row r="37" spans="1:9" x14ac:dyDescent="0.3">
      <c r="B37" t="s">
        <v>29</v>
      </c>
      <c r="C37" s="13">
        <f>'P_L 2005_06'!G37</f>
        <v>900.00000000000011</v>
      </c>
      <c r="D37" s="13">
        <f>'P_L 2006_07'!P37</f>
        <v>45000</v>
      </c>
      <c r="E37" s="13">
        <f>'P_L 2007_08'!P37</f>
        <v>45000</v>
      </c>
      <c r="F37" s="13">
        <f>'P_L 2008_09'!P37</f>
        <v>45000</v>
      </c>
      <c r="G37" s="13">
        <f>'P_L 2009_10'!P37</f>
        <v>45000</v>
      </c>
      <c r="I37" s="2">
        <f t="shared" si="1"/>
        <v>180900</v>
      </c>
    </row>
    <row r="38" spans="1:9" x14ac:dyDescent="0.3">
      <c r="B38" t="s">
        <v>30</v>
      </c>
      <c r="C38" s="13">
        <f>'P_L 2005_06'!G38</f>
        <v>7200.0000000000009</v>
      </c>
      <c r="D38" s="13">
        <f>'P_L 2006_07'!P38</f>
        <v>360000</v>
      </c>
      <c r="E38" s="13">
        <f>'P_L 2007_08'!P38</f>
        <v>360000</v>
      </c>
      <c r="F38" s="13">
        <f>'P_L 2008_09'!P38</f>
        <v>360000</v>
      </c>
      <c r="G38" s="13">
        <f>'P_L 2009_10'!P38</f>
        <v>360000</v>
      </c>
      <c r="I38" s="2">
        <f t="shared" si="1"/>
        <v>1447200</v>
      </c>
    </row>
    <row r="39" spans="1:9" x14ac:dyDescent="0.3">
      <c r="B39" t="s">
        <v>31</v>
      </c>
      <c r="C39" s="13">
        <f>'P_L 2005_06'!G39</f>
        <v>27000</v>
      </c>
      <c r="D39" s="13">
        <f>'P_L 2006_07'!P39</f>
        <v>1350000</v>
      </c>
      <c r="E39" s="13">
        <f>'P_L 2007_08'!P39</f>
        <v>1350000</v>
      </c>
      <c r="F39" s="13">
        <f>'P_L 2008_09'!P39</f>
        <v>1350000</v>
      </c>
      <c r="G39" s="13">
        <f>'P_L 2009_10'!P39</f>
        <v>1350000</v>
      </c>
      <c r="I39" s="2">
        <f t="shared" si="1"/>
        <v>5427000</v>
      </c>
    </row>
    <row r="40" spans="1:9" x14ac:dyDescent="0.3">
      <c r="B40" t="s">
        <v>32</v>
      </c>
      <c r="C40" s="13">
        <f>'P_L 2005_06'!G40</f>
        <v>2500</v>
      </c>
      <c r="D40" s="13">
        <f>'P_L 2006_07'!P40</f>
        <v>60000</v>
      </c>
      <c r="E40" s="13">
        <f>'P_L 2007_08'!P40</f>
        <v>60000</v>
      </c>
      <c r="F40" s="13">
        <f>'P_L 2008_09'!P40</f>
        <v>60000</v>
      </c>
      <c r="G40" s="13">
        <f>'P_L 2009_10'!P40</f>
        <v>60000</v>
      </c>
      <c r="I40" s="2">
        <f t="shared" si="1"/>
        <v>242500</v>
      </c>
    </row>
    <row r="41" spans="1:9" x14ac:dyDescent="0.3">
      <c r="B41" t="s">
        <v>33</v>
      </c>
      <c r="C41" s="13">
        <f>'P_L 2005_06'!G41</f>
        <v>4000</v>
      </c>
      <c r="D41" s="13">
        <f>'P_L 2006_07'!P41</f>
        <v>96000</v>
      </c>
      <c r="E41" s="13">
        <f>'P_L 2007_08'!P41</f>
        <v>96000</v>
      </c>
      <c r="F41" s="13">
        <f>'P_L 2008_09'!P41</f>
        <v>96000</v>
      </c>
      <c r="G41" s="13">
        <f>'P_L 2009_10'!P41</f>
        <v>96000</v>
      </c>
      <c r="I41" s="2">
        <f t="shared" si="1"/>
        <v>388000</v>
      </c>
    </row>
    <row r="42" spans="1:9" x14ac:dyDescent="0.3">
      <c r="B42" t="s">
        <v>34</v>
      </c>
      <c r="C42" s="13">
        <f>'P_L 2005_06'!G42</f>
        <v>13000</v>
      </c>
      <c r="D42" s="13">
        <f>'P_L 2006_07'!P42</f>
        <v>650000</v>
      </c>
      <c r="E42" s="13">
        <f>'P_L 2007_08'!P42</f>
        <v>650000</v>
      </c>
      <c r="F42" s="13">
        <f>'P_L 2008_09'!P42</f>
        <v>650000</v>
      </c>
      <c r="G42" s="13">
        <f>'P_L 2009_10'!P42</f>
        <v>650000</v>
      </c>
      <c r="I42" s="2">
        <f t="shared" si="1"/>
        <v>2613000</v>
      </c>
    </row>
    <row r="43" spans="1:9" x14ac:dyDescent="0.3">
      <c r="B43" t="s">
        <v>35</v>
      </c>
      <c r="C43" s="13">
        <f>'P_L 2005_06'!G43</f>
        <v>48000</v>
      </c>
      <c r="D43" s="13">
        <f>'P_L 2006_07'!P43</f>
        <v>2400000</v>
      </c>
      <c r="E43" s="13">
        <f>'P_L 2007_08'!P43</f>
        <v>2400000</v>
      </c>
      <c r="F43" s="13">
        <f>'P_L 2008_09'!P43</f>
        <v>2400000</v>
      </c>
      <c r="G43" s="13">
        <f>'P_L 2009_10'!P43</f>
        <v>2400000</v>
      </c>
      <c r="I43" s="2">
        <f t="shared" si="1"/>
        <v>9648000</v>
      </c>
    </row>
    <row r="44" spans="1:9" x14ac:dyDescent="0.3">
      <c r="B44" t="s">
        <v>36</v>
      </c>
      <c r="C44" s="13">
        <f>'P_L 2005_06'!G44</f>
        <v>7800</v>
      </c>
      <c r="D44" s="13">
        <f>'P_L 2006_07'!P44</f>
        <v>390000</v>
      </c>
      <c r="E44" s="13">
        <f>'P_L 2007_08'!P44</f>
        <v>390000</v>
      </c>
      <c r="F44" s="13">
        <f>'P_L 2008_09'!P44</f>
        <v>390000</v>
      </c>
      <c r="G44" s="13">
        <f>'P_L 2009_10'!P44</f>
        <v>390000</v>
      </c>
      <c r="I44" s="2">
        <f t="shared" si="1"/>
        <v>1567800</v>
      </c>
    </row>
    <row r="45" spans="1:9" x14ac:dyDescent="0.3">
      <c r="B45" t="s">
        <v>37</v>
      </c>
      <c r="C45" s="13">
        <f>'P_L 2005_06'!G45</f>
        <v>6000</v>
      </c>
      <c r="D45" s="13">
        <f>'P_L 2006_07'!P45</f>
        <v>300000</v>
      </c>
      <c r="E45" s="13">
        <f>'P_L 2007_08'!P45</f>
        <v>300000</v>
      </c>
      <c r="F45" s="13">
        <f>'P_L 2008_09'!P45</f>
        <v>300000</v>
      </c>
      <c r="G45" s="13">
        <f>'P_L 2009_10'!P45</f>
        <v>300000</v>
      </c>
      <c r="I45" s="2">
        <f t="shared" si="1"/>
        <v>1206000</v>
      </c>
    </row>
    <row r="46" spans="1:9" ht="14" x14ac:dyDescent="0.3">
      <c r="B46" s="19" t="s">
        <v>3</v>
      </c>
      <c r="C46" s="15">
        <f>SUM(C33:C45)</f>
        <v>296779.097948718</v>
      </c>
      <c r="D46" s="15">
        <f>SUM(D33:D45)</f>
        <v>14892883.000000002</v>
      </c>
      <c r="E46" s="15">
        <f>SUM(E33:E45)</f>
        <v>14892883.000000002</v>
      </c>
      <c r="F46" s="15">
        <f>SUM(F33:F45)</f>
        <v>14892883.000000002</v>
      </c>
      <c r="G46" s="15">
        <f>SUM(G33:G45)</f>
        <v>14892883.000000002</v>
      </c>
      <c r="I46" s="15">
        <f>SUM(I33:I45)</f>
        <v>59868311.097948723</v>
      </c>
    </row>
    <row r="47" spans="1:9" ht="6" customHeight="1" x14ac:dyDescent="0.3">
      <c r="C47" s="13"/>
      <c r="D47" s="13"/>
      <c r="E47" s="13"/>
      <c r="F47" s="13"/>
      <c r="G47" s="13"/>
    </row>
    <row r="48" spans="1:9" ht="15.5" x14ac:dyDescent="0.35">
      <c r="A48" s="17" t="s">
        <v>38</v>
      </c>
      <c r="C48" s="13"/>
      <c r="D48" s="13"/>
      <c r="E48" s="13"/>
      <c r="F48" s="13"/>
      <c r="G48" s="13"/>
    </row>
    <row r="49" spans="1:9" x14ac:dyDescent="0.3">
      <c r="B49" t="s">
        <v>39</v>
      </c>
      <c r="C49" s="13">
        <f>'P_L 2005_06'!G49</f>
        <v>120000</v>
      </c>
      <c r="D49" s="13">
        <f>'P_L 2006_07'!P49</f>
        <v>120000</v>
      </c>
      <c r="E49" s="13">
        <f>'P_L 2007_08'!P49</f>
        <v>120000</v>
      </c>
      <c r="F49" s="13">
        <f>'P_L 2008_09'!P49</f>
        <v>120000</v>
      </c>
      <c r="G49" s="13">
        <f>'P_L 2009_10'!P49</f>
        <v>120000</v>
      </c>
      <c r="I49" s="2">
        <f>SUM(C49:G49)</f>
        <v>600000</v>
      </c>
    </row>
    <row r="50" spans="1:9" x14ac:dyDescent="0.3">
      <c r="B50" t="s">
        <v>40</v>
      </c>
      <c r="C50" s="13">
        <f>'P_L 2005_06'!G50</f>
        <v>0</v>
      </c>
      <c r="D50" s="13">
        <f>'P_L 2006_07'!P50</f>
        <v>75000</v>
      </c>
      <c r="E50" s="13">
        <f>'P_L 2007_08'!P50</f>
        <v>75000</v>
      </c>
      <c r="F50" s="13">
        <f>'P_L 2008_09'!P50</f>
        <v>75000</v>
      </c>
      <c r="G50" s="13">
        <f>'P_L 2009_10'!P50</f>
        <v>75000</v>
      </c>
      <c r="I50" s="2">
        <f>SUM(C50:G50)</f>
        <v>300000</v>
      </c>
    </row>
    <row r="51" spans="1:9" x14ac:dyDescent="0.3">
      <c r="B51" t="s">
        <v>41</v>
      </c>
      <c r="C51" s="13">
        <f>'P_L 2005_06'!G51</f>
        <v>0</v>
      </c>
      <c r="D51" s="13">
        <f>'P_L 2006_07'!P51</f>
        <v>49999.999999999993</v>
      </c>
      <c r="E51" s="13">
        <f>'P_L 2007_08'!P51</f>
        <v>49999.999999999993</v>
      </c>
      <c r="F51" s="13">
        <f>'P_L 2008_09'!P51</f>
        <v>49999.999999999993</v>
      </c>
      <c r="G51" s="13">
        <f>'P_L 2009_10'!P51</f>
        <v>49999.999999999993</v>
      </c>
      <c r="I51" s="2">
        <f>SUM(C51:G51)</f>
        <v>199999.99999999997</v>
      </c>
    </row>
    <row r="52" spans="1:9" x14ac:dyDescent="0.3">
      <c r="B52" t="s">
        <v>42</v>
      </c>
      <c r="C52" s="13">
        <f>'P_L 2005_06'!G52</f>
        <v>480000</v>
      </c>
      <c r="D52" s="13">
        <f>'P_L 2006_07'!P52</f>
        <v>99999.999999999985</v>
      </c>
      <c r="E52" s="13">
        <f>'P_L 2007_08'!P52</f>
        <v>99999.999999999985</v>
      </c>
      <c r="F52" s="13">
        <f>'P_L 2008_09'!P52</f>
        <v>99999.999999999985</v>
      </c>
      <c r="G52" s="13">
        <f>'P_L 2009_10'!P52</f>
        <v>99999.999999999985</v>
      </c>
      <c r="I52" s="2">
        <f>SUM(C52:G52)</f>
        <v>880000</v>
      </c>
    </row>
    <row r="53" spans="1:9" ht="14" x14ac:dyDescent="0.3">
      <c r="B53" s="19" t="s">
        <v>3</v>
      </c>
      <c r="C53" s="15">
        <f>SUM(C49:C52)</f>
        <v>600000</v>
      </c>
      <c r="D53" s="15">
        <f>SUM(D49:D52)</f>
        <v>345000</v>
      </c>
      <c r="E53" s="15">
        <f>SUM(E49:E52)</f>
        <v>345000</v>
      </c>
      <c r="F53" s="15">
        <f>SUM(F49:F52)</f>
        <v>345000</v>
      </c>
      <c r="G53" s="15">
        <f>SUM(G49:G52)</f>
        <v>345000</v>
      </c>
      <c r="I53" s="15">
        <f>SUM(I49:I52)</f>
        <v>1980000</v>
      </c>
    </row>
    <row r="54" spans="1:9" ht="6" customHeight="1" x14ac:dyDescent="0.3">
      <c r="C54" s="13"/>
      <c r="D54" s="13"/>
      <c r="E54" s="13"/>
      <c r="F54" s="13"/>
      <c r="G54" s="13"/>
    </row>
    <row r="55" spans="1:9" ht="15.5" x14ac:dyDescent="0.35">
      <c r="A55" s="17" t="s">
        <v>43</v>
      </c>
      <c r="C55" s="13"/>
      <c r="D55" s="13"/>
      <c r="E55" s="13"/>
      <c r="F55" s="13"/>
      <c r="G55" s="13"/>
    </row>
    <row r="56" spans="1:9" x14ac:dyDescent="0.3">
      <c r="B56" t="s">
        <v>44</v>
      </c>
      <c r="C56" s="13">
        <f>'P_L 2005_06'!G56</f>
        <v>23750</v>
      </c>
      <c r="D56" s="13">
        <f>'P_L 2006_07'!P56</f>
        <v>285000</v>
      </c>
      <c r="E56" s="13">
        <f>'P_L 2007_08'!P56</f>
        <v>285000</v>
      </c>
      <c r="F56" s="13">
        <f>'P_L 2008_09'!P56</f>
        <v>285000</v>
      </c>
      <c r="G56" s="13">
        <f>'P_L 2009_10'!P56</f>
        <v>285000</v>
      </c>
      <c r="I56" s="2">
        <f>SUM(C56:G56)</f>
        <v>1163750</v>
      </c>
    </row>
    <row r="57" spans="1:9" x14ac:dyDescent="0.3">
      <c r="B57" t="s">
        <v>45</v>
      </c>
      <c r="C57" s="13">
        <f>'P_L 2005_06'!G57</f>
        <v>0</v>
      </c>
      <c r="D57" s="13">
        <f>'P_L 2006_07'!P57</f>
        <v>40500</v>
      </c>
      <c r="E57" s="13">
        <f>'P_L 2007_08'!P57</f>
        <v>40500</v>
      </c>
      <c r="F57" s="13">
        <f>'P_L 2008_09'!P57</f>
        <v>40500</v>
      </c>
      <c r="G57" s="13">
        <f>'P_L 2009_10'!P57</f>
        <v>40500</v>
      </c>
      <c r="I57" s="2">
        <f>SUM(C57:G57)</f>
        <v>162000</v>
      </c>
    </row>
    <row r="58" spans="1:9" x14ac:dyDescent="0.3">
      <c r="B58" t="s">
        <v>46</v>
      </c>
      <c r="C58" s="13">
        <f>'P_L 2005_06'!G58</f>
        <v>0</v>
      </c>
      <c r="D58" s="13">
        <f>'P_L 2006_07'!P58</f>
        <v>250000.00000000003</v>
      </c>
      <c r="E58" s="13">
        <f>'P_L 2007_08'!P58</f>
        <v>250000.00000000003</v>
      </c>
      <c r="F58" s="13">
        <f>'P_L 2008_09'!P58</f>
        <v>250000.00000000003</v>
      </c>
      <c r="G58" s="13">
        <f>'P_L 2009_10'!P58</f>
        <v>250000.00000000003</v>
      </c>
      <c r="I58" s="2">
        <f>SUM(C58:G58)</f>
        <v>1000000.0000000001</v>
      </c>
    </row>
    <row r="59" spans="1:9" x14ac:dyDescent="0.3">
      <c r="B59" t="s">
        <v>47</v>
      </c>
      <c r="C59" s="13">
        <f>'P_L 2005_06'!G59</f>
        <v>2500</v>
      </c>
      <c r="D59" s="13">
        <f>'P_L 2006_07'!P59</f>
        <v>60750</v>
      </c>
      <c r="E59" s="13">
        <f>'P_L 2007_08'!P59</f>
        <v>60750</v>
      </c>
      <c r="F59" s="13">
        <f>'P_L 2008_09'!P59</f>
        <v>60750</v>
      </c>
      <c r="G59" s="13">
        <f>'P_L 2009_10'!P59</f>
        <v>60750</v>
      </c>
      <c r="I59" s="2">
        <f>SUM(C59:G59)</f>
        <v>245500</v>
      </c>
    </row>
    <row r="60" spans="1:9" x14ac:dyDescent="0.3">
      <c r="B60" t="s">
        <v>48</v>
      </c>
      <c r="C60" s="13">
        <f>'P_L 2005_06'!G60</f>
        <v>1000</v>
      </c>
      <c r="D60" s="13">
        <f>'P_L 2006_07'!P60</f>
        <v>13500</v>
      </c>
      <c r="E60" s="13">
        <f>'P_L 2007_08'!P60</f>
        <v>13500</v>
      </c>
      <c r="F60" s="13">
        <f>'P_L 2008_09'!P60</f>
        <v>13500</v>
      </c>
      <c r="G60" s="13">
        <f>'P_L 2009_10'!P60</f>
        <v>13500</v>
      </c>
      <c r="I60" s="2">
        <f>SUM(C60:G60)</f>
        <v>55000</v>
      </c>
    </row>
    <row r="61" spans="1:9" ht="14" x14ac:dyDescent="0.3">
      <c r="B61" s="19" t="s">
        <v>3</v>
      </c>
      <c r="C61" s="15">
        <f>SUM(C56:C60)</f>
        <v>27250</v>
      </c>
      <c r="D61" s="15">
        <f>SUM(D56:D60)</f>
        <v>649750</v>
      </c>
      <c r="E61" s="15">
        <f>SUM(E56:E60)</f>
        <v>649750</v>
      </c>
      <c r="F61" s="15">
        <f>SUM(F56:F60)</f>
        <v>649750</v>
      </c>
      <c r="G61" s="15">
        <f>SUM(G56:G60)</f>
        <v>649750</v>
      </c>
      <c r="I61" s="15">
        <f>SUM(I56:I60)</f>
        <v>2626250</v>
      </c>
    </row>
    <row r="62" spans="1:9" ht="6" customHeight="1" x14ac:dyDescent="0.3">
      <c r="C62" s="13"/>
      <c r="D62" s="13"/>
      <c r="E62" s="13"/>
      <c r="F62" s="13"/>
      <c r="G62" s="13"/>
    </row>
    <row r="63" spans="1:9" ht="15.5" x14ac:dyDescent="0.35">
      <c r="A63" s="17" t="s">
        <v>49</v>
      </c>
      <c r="C63" s="13"/>
      <c r="D63" s="13"/>
      <c r="E63" s="13"/>
      <c r="F63" s="13"/>
      <c r="G63" s="13"/>
    </row>
    <row r="64" spans="1:9" x14ac:dyDescent="0.3">
      <c r="B64" t="s">
        <v>49</v>
      </c>
      <c r="C64" s="18">
        <f>'P_L 2005_06'!G64</f>
        <v>16000</v>
      </c>
      <c r="D64" s="18">
        <f>'P_L 2006_07'!P64</f>
        <v>800000</v>
      </c>
      <c r="E64" s="18">
        <f>'P_L 2007_08'!P64</f>
        <v>800000</v>
      </c>
      <c r="F64" s="18">
        <f>'P_L 2008_09'!P64</f>
        <v>800000</v>
      </c>
      <c r="G64" s="18">
        <f>'P_L 2009_10'!P64</f>
        <v>800000</v>
      </c>
      <c r="I64" s="18">
        <f>SUM(C64:G64)</f>
        <v>3216000</v>
      </c>
    </row>
    <row r="65" spans="1:9" ht="14" hidden="1" x14ac:dyDescent="0.3">
      <c r="B65" s="19" t="s">
        <v>3</v>
      </c>
      <c r="C65" s="16"/>
      <c r="D65" s="16"/>
      <c r="E65" s="16"/>
      <c r="F65" s="16"/>
      <c r="G65" s="16"/>
    </row>
    <row r="66" spans="1:9" ht="6" customHeight="1" x14ac:dyDescent="0.3">
      <c r="C66" s="13"/>
      <c r="D66" s="13"/>
      <c r="E66" s="13"/>
      <c r="F66" s="13"/>
      <c r="G66" s="13"/>
    </row>
    <row r="67" spans="1:9" ht="15.5" x14ac:dyDescent="0.35">
      <c r="A67" s="17" t="s">
        <v>50</v>
      </c>
      <c r="C67" s="13"/>
      <c r="D67" s="13"/>
      <c r="E67" s="13"/>
      <c r="F67" s="13"/>
      <c r="G67" s="13"/>
    </row>
    <row r="68" spans="1:9" ht="13.5" customHeight="1" x14ac:dyDescent="0.35">
      <c r="A68" s="17"/>
      <c r="B68" t="s">
        <v>51</v>
      </c>
      <c r="C68" s="13">
        <f>'P_L 2005_06'!G68</f>
        <v>0</v>
      </c>
      <c r="D68" s="13">
        <f>'P_L 2006_07'!P68</f>
        <v>3652.9597946945787</v>
      </c>
      <c r="E68" s="13">
        <f>'P_L 2007_08'!P68</f>
        <v>2985.7540316118266</v>
      </c>
      <c r="F68" s="13">
        <f>'P_L 2008_09'!P68</f>
        <v>2440.4120598955642</v>
      </c>
      <c r="G68" s="13">
        <f>'P_L 2009_10'!P68</f>
        <v>1994.6757030312508</v>
      </c>
      <c r="I68" s="2">
        <f>SUM(C68:G68)</f>
        <v>11073.801589233221</v>
      </c>
    </row>
    <row r="69" spans="1:9" ht="13.5" customHeight="1" x14ac:dyDescent="0.35">
      <c r="A69" s="17"/>
      <c r="B69" t="s">
        <v>52</v>
      </c>
      <c r="C69" s="13">
        <f>'P_L 2005_06'!G69</f>
        <v>0</v>
      </c>
      <c r="D69" s="13">
        <f>'P_L 2006_07'!P69</f>
        <v>154195.14668544556</v>
      </c>
      <c r="E69" s="13">
        <f>'P_L 2007_08'!P69</f>
        <v>53280.412411975783</v>
      </c>
      <c r="F69" s="13">
        <f>'P_L 2008_09'!P69</f>
        <v>0</v>
      </c>
      <c r="G69" s="13">
        <f>'P_L 2009_10'!P69</f>
        <v>0</v>
      </c>
      <c r="I69" s="2">
        <f>SUM(C69:G69)</f>
        <v>207475.55909742136</v>
      </c>
    </row>
    <row r="70" spans="1:9" x14ac:dyDescent="0.3">
      <c r="B70" t="s">
        <v>53</v>
      </c>
      <c r="C70" s="13">
        <f>'P_L 2005_06'!G70</f>
        <v>0</v>
      </c>
      <c r="D70" s="13">
        <f>'P_L 2006_07'!P70</f>
        <v>75000</v>
      </c>
      <c r="E70" s="13">
        <f>'P_L 2007_08'!P70</f>
        <v>75000</v>
      </c>
      <c r="F70" s="13">
        <f>'P_L 2008_09'!P70</f>
        <v>75000</v>
      </c>
      <c r="G70" s="13">
        <f>'P_L 2009_10'!P70</f>
        <v>75000</v>
      </c>
      <c r="I70" s="2">
        <f>SUM(C70:G70)</f>
        <v>300000</v>
      </c>
    </row>
    <row r="71" spans="1:9" x14ac:dyDescent="0.3">
      <c r="B71" t="s">
        <v>54</v>
      </c>
      <c r="C71" s="13">
        <f>'P_L 2005_06'!G71</f>
        <v>0</v>
      </c>
      <c r="D71" s="13">
        <f>'P_L 2006_07'!P71</f>
        <v>0</v>
      </c>
      <c r="E71" s="13">
        <f>'P_L 2007_08'!P71</f>
        <v>0</v>
      </c>
      <c r="F71" s="13">
        <f>'P_L 2008_09'!P71</f>
        <v>0</v>
      </c>
      <c r="G71" s="13">
        <f>'P_L 2009_10'!P71</f>
        <v>0</v>
      </c>
      <c r="I71" s="2">
        <f>SUM(C71:G71)</f>
        <v>0</v>
      </c>
    </row>
    <row r="72" spans="1:9" ht="14" x14ac:dyDescent="0.3">
      <c r="B72" s="19" t="s">
        <v>3</v>
      </c>
      <c r="C72" s="15">
        <f>SUM(C68:C71)</f>
        <v>0</v>
      </c>
      <c r="D72" s="15">
        <f>SUM(D68:D71)</f>
        <v>232848.10648014015</v>
      </c>
      <c r="E72" s="15">
        <f>SUM(E68:E71)</f>
        <v>131266.1664435876</v>
      </c>
      <c r="F72" s="15">
        <f>SUM(F68:F71)</f>
        <v>77440.412059895563</v>
      </c>
      <c r="G72" s="15">
        <f>SUM(G68:G71)</f>
        <v>76994.675703031244</v>
      </c>
      <c r="I72" s="15">
        <f>SUM(I68:I71)</f>
        <v>518549.36068665457</v>
      </c>
    </row>
    <row r="73" spans="1:9" ht="11.25" customHeight="1" x14ac:dyDescent="0.3">
      <c r="C73" s="13"/>
      <c r="D73" s="13"/>
      <c r="E73" s="13"/>
      <c r="F73" s="13"/>
      <c r="G73" s="13"/>
    </row>
    <row r="74" spans="1:9" ht="15.5" x14ac:dyDescent="0.35">
      <c r="A74" s="4" t="s">
        <v>55</v>
      </c>
      <c r="C74" s="15">
        <f>C72+C64+C61+C53+C46+C29+C23</f>
        <v>940029.097948718</v>
      </c>
      <c r="D74" s="15">
        <f>D72+D64+D61+D53+D46+D29+D23</f>
        <v>17170481.106480144</v>
      </c>
      <c r="E74" s="15">
        <f>E72+E64+E61+E53+E46+E29+E23</f>
        <v>17068899.16644359</v>
      </c>
      <c r="F74" s="15">
        <f>F72+F64+F61+F53+F46+F29+F23</f>
        <v>17015073.412059896</v>
      </c>
      <c r="G74" s="15">
        <f>G72+G64+G61+G53+G46+G29+G23</f>
        <v>17014627.675703034</v>
      </c>
      <c r="I74" s="15">
        <f>I72+I64+I61+I53+I46+I29+I23</f>
        <v>69209110.458635375</v>
      </c>
    </row>
    <row r="75" spans="1:9" x14ac:dyDescent="0.3">
      <c r="C75" s="20"/>
      <c r="D75" s="20"/>
      <c r="E75" s="20"/>
      <c r="F75" s="20"/>
      <c r="G75" s="20"/>
      <c r="I75" s="15"/>
    </row>
    <row r="76" spans="1:9" ht="15.5" x14ac:dyDescent="0.35">
      <c r="A76" s="4" t="s">
        <v>56</v>
      </c>
      <c r="C76" s="16">
        <f>C18-C74</f>
        <v>-608719.097948718</v>
      </c>
      <c r="D76" s="16">
        <f>D18-D74</f>
        <v>479451.17551985756</v>
      </c>
      <c r="E76" s="16">
        <f>E18-E74</f>
        <v>1673608.003556408</v>
      </c>
      <c r="F76" s="16">
        <f>F18-F74</f>
        <v>2790171.5829401053</v>
      </c>
      <c r="G76" s="16">
        <f>G18-G74</f>
        <v>3515600.9092969671</v>
      </c>
      <c r="H76" s="21"/>
      <c r="I76" s="16">
        <f>I18-I74</f>
        <v>7850112.5733646303</v>
      </c>
    </row>
    <row r="77" spans="1:9" x14ac:dyDescent="0.3">
      <c r="C77" s="13"/>
      <c r="D77" s="13"/>
      <c r="E77" s="16"/>
    </row>
    <row r="78" spans="1:9" x14ac:dyDescent="0.3">
      <c r="A78" t="s">
        <v>57</v>
      </c>
      <c r="C78" s="13">
        <f>-C76*0.3</f>
        <v>182615.72938461541</v>
      </c>
      <c r="D78" s="13">
        <f>-D76*0.3</f>
        <v>-143835.35265595725</v>
      </c>
      <c r="E78" s="13">
        <f>-E76*0.3</f>
        <v>-502082.40106692235</v>
      </c>
      <c r="F78" s="13">
        <f>-F76*0.3</f>
        <v>-837051.47488203156</v>
      </c>
      <c r="G78" s="13">
        <f>-G76*0.3</f>
        <v>-1054680.2727890902</v>
      </c>
      <c r="I78" s="2">
        <f>SUM(C78:G78)</f>
        <v>-2355033.7720093857</v>
      </c>
    </row>
    <row r="79" spans="1:9" x14ac:dyDescent="0.3">
      <c r="C79" s="13"/>
      <c r="D79" s="13"/>
      <c r="E79" s="16"/>
    </row>
    <row r="80" spans="1:9" ht="15.5" x14ac:dyDescent="0.35">
      <c r="A80" s="4" t="s">
        <v>58</v>
      </c>
      <c r="C80" s="22">
        <f>C76+C78</f>
        <v>-426103.36856410257</v>
      </c>
      <c r="D80" s="22">
        <f>D76+D78</f>
        <v>335615.82286390034</v>
      </c>
      <c r="E80" s="22">
        <f>E76+E78</f>
        <v>1171525.6024894856</v>
      </c>
      <c r="F80" s="22">
        <f>F76+F78</f>
        <v>1953120.1080580738</v>
      </c>
      <c r="G80" s="22">
        <f>G76+G78</f>
        <v>2460920.6365078771</v>
      </c>
      <c r="I80" s="22">
        <f>I76+I78</f>
        <v>5495078.8013552446</v>
      </c>
    </row>
    <row r="81" spans="3:7" x14ac:dyDescent="0.3">
      <c r="C81" s="13"/>
      <c r="D81" s="13"/>
      <c r="E81" s="16"/>
    </row>
    <row r="82" spans="3:7" x14ac:dyDescent="0.3">
      <c r="C82" s="13"/>
      <c r="D82" s="13"/>
      <c r="E82" s="16"/>
      <c r="F82" s="16"/>
      <c r="G82" s="16"/>
    </row>
    <row r="83" spans="3:7" x14ac:dyDescent="0.3">
      <c r="C83" s="13"/>
      <c r="D83" s="13"/>
      <c r="E83" s="16"/>
    </row>
    <row r="84" spans="3:7" x14ac:dyDescent="0.3">
      <c r="C84" s="13"/>
      <c r="D84" s="13"/>
      <c r="E84" s="13"/>
      <c r="F84" s="13"/>
      <c r="G84" s="13"/>
    </row>
    <row r="85" spans="3:7" x14ac:dyDescent="0.3">
      <c r="C85" s="13"/>
      <c r="D85" s="13"/>
      <c r="E85" s="16"/>
    </row>
    <row r="86" spans="3:7" x14ac:dyDescent="0.3">
      <c r="C86" s="13"/>
      <c r="D86" s="13"/>
      <c r="E86" s="13"/>
      <c r="F86" s="13"/>
      <c r="G86" s="13"/>
    </row>
    <row r="87" spans="3:7" x14ac:dyDescent="0.3">
      <c r="C87" s="13"/>
      <c r="D87" s="13"/>
      <c r="E87" s="16"/>
    </row>
    <row r="88" spans="3:7" x14ac:dyDescent="0.3">
      <c r="C88" s="13"/>
      <c r="D88" s="13"/>
      <c r="E88" s="16"/>
    </row>
    <row r="89" spans="3:7" x14ac:dyDescent="0.3">
      <c r="C89" s="13"/>
      <c r="D89" s="13"/>
      <c r="E89" s="16"/>
    </row>
    <row r="90" spans="3:7" x14ac:dyDescent="0.3">
      <c r="C90" s="13"/>
      <c r="D90" s="13"/>
      <c r="E90" s="16"/>
    </row>
    <row r="91" spans="3:7" x14ac:dyDescent="0.3">
      <c r="C91" s="13"/>
      <c r="D91" s="13"/>
      <c r="E91" s="16"/>
    </row>
    <row r="92" spans="3:7" x14ac:dyDescent="0.3">
      <c r="C92" s="13"/>
      <c r="D92" s="13"/>
      <c r="E92" s="16"/>
    </row>
    <row r="93" spans="3:7" x14ac:dyDescent="0.3">
      <c r="C93" s="13"/>
      <c r="D93" s="13"/>
      <c r="E93" s="16"/>
    </row>
    <row r="94" spans="3:7" x14ac:dyDescent="0.3">
      <c r="C94" s="13"/>
      <c r="D94" s="13"/>
      <c r="E94" s="16"/>
    </row>
    <row r="95" spans="3:7" x14ac:dyDescent="0.3">
      <c r="C95" s="13"/>
      <c r="D95" s="13"/>
      <c r="E95" s="16"/>
    </row>
    <row r="96" spans="3:7" x14ac:dyDescent="0.3">
      <c r="C96" s="13"/>
      <c r="D96" s="13"/>
      <c r="E96" s="16"/>
    </row>
    <row r="97" spans="3:5" x14ac:dyDescent="0.3">
      <c r="C97" s="13"/>
      <c r="D97" s="13"/>
      <c r="E97" s="16"/>
    </row>
    <row r="98" spans="3:5" x14ac:dyDescent="0.3">
      <c r="C98" s="13"/>
      <c r="D98" s="13"/>
      <c r="E98" s="16"/>
    </row>
    <row r="99" spans="3:5" x14ac:dyDescent="0.3">
      <c r="C99" s="13"/>
      <c r="D99" s="13"/>
      <c r="E99" s="16"/>
    </row>
    <row r="100" spans="3:5" x14ac:dyDescent="0.3">
      <c r="C100" s="13"/>
      <c r="D100" s="13"/>
      <c r="E100" s="16"/>
    </row>
    <row r="101" spans="3:5" x14ac:dyDescent="0.3">
      <c r="C101" s="13"/>
      <c r="D101" s="13"/>
      <c r="E101" s="16"/>
    </row>
    <row r="102" spans="3:5" x14ac:dyDescent="0.3">
      <c r="C102" s="13"/>
      <c r="D102" s="13"/>
      <c r="E102" s="16"/>
    </row>
    <row r="103" spans="3:5" x14ac:dyDescent="0.3">
      <c r="C103" s="13"/>
      <c r="D103" s="13"/>
      <c r="E103" s="16"/>
    </row>
    <row r="104" spans="3:5" x14ac:dyDescent="0.3">
      <c r="C104" s="13"/>
      <c r="D104" s="13"/>
      <c r="E104" s="16"/>
    </row>
    <row r="105" spans="3:5" x14ac:dyDescent="0.3">
      <c r="C105" s="13"/>
      <c r="D105" s="13"/>
      <c r="E105" s="16"/>
    </row>
    <row r="106" spans="3:5" x14ac:dyDescent="0.3">
      <c r="C106" s="13"/>
      <c r="D106" s="13"/>
      <c r="E106" s="16"/>
    </row>
    <row r="107" spans="3:5" x14ac:dyDescent="0.3">
      <c r="C107" s="13"/>
      <c r="D107" s="13"/>
      <c r="E107" s="16"/>
    </row>
    <row r="108" spans="3:5" x14ac:dyDescent="0.3">
      <c r="C108" s="13"/>
      <c r="D108" s="13"/>
      <c r="E108" s="16"/>
    </row>
    <row r="109" spans="3:5" x14ac:dyDescent="0.3">
      <c r="C109" s="13"/>
      <c r="D109" s="13"/>
      <c r="E109" s="16"/>
    </row>
    <row r="110" spans="3:5" x14ac:dyDescent="0.3">
      <c r="C110" s="13"/>
      <c r="D110" s="13"/>
      <c r="E110" s="16"/>
    </row>
    <row r="111" spans="3:5" x14ac:dyDescent="0.3">
      <c r="C111" s="13"/>
      <c r="D111" s="13"/>
      <c r="E111" s="16"/>
    </row>
    <row r="112" spans="3:5" x14ac:dyDescent="0.3">
      <c r="C112" s="13"/>
      <c r="D112" s="13"/>
      <c r="E112" s="16"/>
    </row>
    <row r="113" spans="3:5" x14ac:dyDescent="0.3">
      <c r="C113" s="13"/>
      <c r="D113" s="13"/>
      <c r="E113" s="16"/>
    </row>
    <row r="114" spans="3:5" x14ac:dyDescent="0.3">
      <c r="C114" s="13"/>
      <c r="D114" s="13"/>
      <c r="E114" s="16"/>
    </row>
    <row r="115" spans="3:5" x14ac:dyDescent="0.3">
      <c r="C115" s="13"/>
      <c r="D115" s="13"/>
      <c r="E115" s="16"/>
    </row>
    <row r="116" spans="3:5" x14ac:dyDescent="0.3">
      <c r="C116" s="13"/>
      <c r="D116" s="13"/>
      <c r="E116" s="16"/>
    </row>
    <row r="117" spans="3:5" x14ac:dyDescent="0.3">
      <c r="C117" s="13"/>
      <c r="D117" s="13"/>
      <c r="E117" s="16"/>
    </row>
    <row r="118" spans="3:5" x14ac:dyDescent="0.3">
      <c r="C118" s="13"/>
      <c r="D118" s="13"/>
      <c r="E118" s="16"/>
    </row>
    <row r="119" spans="3:5" x14ac:dyDescent="0.3">
      <c r="C119" s="13"/>
      <c r="D119" s="13"/>
      <c r="E119" s="16"/>
    </row>
    <row r="120" spans="3:5" x14ac:dyDescent="0.3">
      <c r="C120" s="13"/>
      <c r="D120" s="13"/>
      <c r="E120" s="16"/>
    </row>
    <row r="121" spans="3:5" x14ac:dyDescent="0.3">
      <c r="C121" s="13"/>
      <c r="D121" s="13"/>
      <c r="E121" s="16"/>
    </row>
    <row r="122" spans="3:5" x14ac:dyDescent="0.3">
      <c r="C122" s="13"/>
      <c r="D122" s="13"/>
      <c r="E122" s="16"/>
    </row>
    <row r="123" spans="3:5" x14ac:dyDescent="0.3">
      <c r="C123" s="13"/>
      <c r="D123" s="13"/>
      <c r="E123" s="16"/>
    </row>
    <row r="124" spans="3:5" x14ac:dyDescent="0.3">
      <c r="C124" s="13"/>
      <c r="D124" s="13"/>
      <c r="E124" s="16"/>
    </row>
    <row r="125" spans="3:5" x14ac:dyDescent="0.3">
      <c r="C125" s="13"/>
      <c r="D125" s="13"/>
      <c r="E125" s="16"/>
    </row>
    <row r="126" spans="3:5" x14ac:dyDescent="0.3">
      <c r="C126" s="13"/>
      <c r="D126" s="13"/>
      <c r="E126" s="16"/>
    </row>
    <row r="127" spans="3:5" x14ac:dyDescent="0.3">
      <c r="C127" s="13"/>
      <c r="D127" s="13"/>
      <c r="E127" s="16"/>
    </row>
    <row r="128" spans="3:5" x14ac:dyDescent="0.3">
      <c r="C128" s="13"/>
      <c r="D128" s="13"/>
      <c r="E128" s="16"/>
    </row>
    <row r="129" spans="3:5" x14ac:dyDescent="0.3">
      <c r="C129" s="13"/>
      <c r="D129" s="13"/>
      <c r="E129" s="16"/>
    </row>
    <row r="130" spans="3:5" x14ac:dyDescent="0.3">
      <c r="C130" s="13"/>
      <c r="D130" s="13"/>
      <c r="E130" s="16"/>
    </row>
    <row r="131" spans="3:5" x14ac:dyDescent="0.3">
      <c r="C131" s="13"/>
      <c r="D131" s="13"/>
      <c r="E131" s="16"/>
    </row>
    <row r="132" spans="3:5" x14ac:dyDescent="0.3">
      <c r="C132" s="13"/>
      <c r="D132" s="13"/>
      <c r="E132" s="16"/>
    </row>
    <row r="133" spans="3:5" x14ac:dyDescent="0.3">
      <c r="C133" s="13"/>
      <c r="D133" s="13"/>
      <c r="E133" s="16"/>
    </row>
    <row r="134" spans="3:5" x14ac:dyDescent="0.3">
      <c r="C134" s="13"/>
      <c r="D134" s="13"/>
      <c r="E134" s="16"/>
    </row>
    <row r="135" spans="3:5" x14ac:dyDescent="0.3">
      <c r="C135" s="13"/>
      <c r="D135" s="13"/>
      <c r="E135" s="16"/>
    </row>
    <row r="136" spans="3:5" x14ac:dyDescent="0.3">
      <c r="C136" s="13"/>
      <c r="D136" s="13"/>
      <c r="E136" s="16"/>
    </row>
    <row r="137" spans="3:5" x14ac:dyDescent="0.3">
      <c r="C137" s="13"/>
      <c r="D137" s="13"/>
      <c r="E137" s="16"/>
    </row>
    <row r="138" spans="3:5" x14ac:dyDescent="0.3">
      <c r="C138" s="13"/>
      <c r="D138" s="13"/>
      <c r="E138" s="16"/>
    </row>
    <row r="139" spans="3:5" x14ac:dyDescent="0.3">
      <c r="C139" s="13"/>
      <c r="D139" s="13"/>
      <c r="E139" s="16"/>
    </row>
    <row r="140" spans="3:5" x14ac:dyDescent="0.3">
      <c r="C140" s="13"/>
      <c r="D140" s="13"/>
      <c r="E140" s="16"/>
    </row>
    <row r="141" spans="3:5" x14ac:dyDescent="0.3">
      <c r="C141" s="13"/>
      <c r="D141" s="13"/>
      <c r="E141" s="16"/>
    </row>
    <row r="142" spans="3:5" x14ac:dyDescent="0.3">
      <c r="C142" s="13"/>
      <c r="D142" s="13"/>
      <c r="E142" s="16"/>
    </row>
    <row r="143" spans="3:5" x14ac:dyDescent="0.3">
      <c r="C143" s="13"/>
      <c r="D143" s="13"/>
      <c r="E143" s="16"/>
    </row>
    <row r="144" spans="3:5" x14ac:dyDescent="0.3">
      <c r="C144" s="13"/>
      <c r="D144" s="13"/>
      <c r="E144" s="16"/>
    </row>
    <row r="145" spans="3:5" x14ac:dyDescent="0.3">
      <c r="C145" s="13"/>
      <c r="D145" s="13"/>
      <c r="E145" s="16"/>
    </row>
    <row r="146" spans="3:5" x14ac:dyDescent="0.3">
      <c r="C146" s="13"/>
      <c r="D146" s="13"/>
      <c r="E146" s="16"/>
    </row>
    <row r="147" spans="3:5" x14ac:dyDescent="0.3">
      <c r="C147" s="13"/>
      <c r="D147" s="13"/>
      <c r="E147" s="16"/>
    </row>
    <row r="148" spans="3:5" x14ac:dyDescent="0.3">
      <c r="C148" s="13"/>
      <c r="D148" s="13"/>
      <c r="E148" s="16"/>
    </row>
    <row r="149" spans="3:5" x14ac:dyDescent="0.3">
      <c r="C149" s="13"/>
      <c r="D149" s="13"/>
      <c r="E149" s="16"/>
    </row>
    <row r="150" spans="3:5" x14ac:dyDescent="0.3">
      <c r="C150" s="13"/>
      <c r="D150" s="13"/>
      <c r="E150" s="16"/>
    </row>
    <row r="151" spans="3:5" x14ac:dyDescent="0.3">
      <c r="C151" s="13"/>
      <c r="D151" s="13"/>
      <c r="E151" s="16"/>
    </row>
    <row r="152" spans="3:5" x14ac:dyDescent="0.3">
      <c r="C152" s="13"/>
      <c r="D152" s="13"/>
      <c r="E152" s="16"/>
    </row>
    <row r="153" spans="3:5" x14ac:dyDescent="0.3">
      <c r="C153" s="13"/>
      <c r="D153" s="13"/>
      <c r="E153" s="16"/>
    </row>
    <row r="154" spans="3:5" x14ac:dyDescent="0.3">
      <c r="C154" s="13"/>
      <c r="D154" s="13"/>
      <c r="E154" s="16"/>
    </row>
    <row r="155" spans="3:5" x14ac:dyDescent="0.3">
      <c r="C155" s="13"/>
      <c r="D155" s="13"/>
      <c r="E155" s="16"/>
    </row>
    <row r="156" spans="3:5" x14ac:dyDescent="0.3">
      <c r="C156" s="13"/>
      <c r="D156" s="13"/>
      <c r="E156" s="16"/>
    </row>
    <row r="157" spans="3:5" x14ac:dyDescent="0.3">
      <c r="C157" s="13"/>
      <c r="D157" s="13"/>
      <c r="E157" s="16"/>
    </row>
    <row r="158" spans="3:5" x14ac:dyDescent="0.3">
      <c r="C158" s="13"/>
      <c r="D158" s="13"/>
      <c r="E158" s="16"/>
    </row>
    <row r="159" spans="3:5" x14ac:dyDescent="0.3">
      <c r="C159" s="13"/>
      <c r="D159" s="13"/>
      <c r="E159" s="16"/>
    </row>
    <row r="160" spans="3:5" x14ac:dyDescent="0.3">
      <c r="C160" s="13"/>
      <c r="D160" s="13"/>
      <c r="E160" s="16"/>
    </row>
    <row r="161" spans="3:5" x14ac:dyDescent="0.3">
      <c r="C161" s="13"/>
      <c r="D161" s="13"/>
      <c r="E161" s="16"/>
    </row>
    <row r="162" spans="3:5" x14ac:dyDescent="0.3">
      <c r="C162" s="13"/>
      <c r="D162" s="13"/>
      <c r="E162" s="16"/>
    </row>
    <row r="163" spans="3:5" x14ac:dyDescent="0.3">
      <c r="C163" s="13"/>
      <c r="D163" s="13"/>
      <c r="E163" s="16"/>
    </row>
    <row r="164" spans="3:5" x14ac:dyDescent="0.3">
      <c r="C164" s="13"/>
      <c r="D164" s="13"/>
      <c r="E164" s="16"/>
    </row>
    <row r="165" spans="3:5" x14ac:dyDescent="0.3">
      <c r="C165" s="13"/>
      <c r="D165" s="13"/>
      <c r="E165" s="16"/>
    </row>
    <row r="166" spans="3:5" x14ac:dyDescent="0.3">
      <c r="C166" s="13"/>
      <c r="D166" s="13"/>
      <c r="E166" s="16"/>
    </row>
    <row r="167" spans="3:5" x14ac:dyDescent="0.3">
      <c r="C167" s="13"/>
      <c r="D167" s="13"/>
      <c r="E167" s="16"/>
    </row>
    <row r="168" spans="3:5" x14ac:dyDescent="0.3">
      <c r="C168" s="13"/>
      <c r="D168" s="13"/>
      <c r="E168" s="16"/>
    </row>
    <row r="169" spans="3:5" x14ac:dyDescent="0.3">
      <c r="C169" s="13"/>
      <c r="D169" s="13"/>
      <c r="E169" s="16"/>
    </row>
    <row r="170" spans="3:5" x14ac:dyDescent="0.3">
      <c r="C170" s="13"/>
      <c r="D170" s="13"/>
      <c r="E170" s="16"/>
    </row>
    <row r="171" spans="3:5" x14ac:dyDescent="0.3">
      <c r="C171" s="13"/>
      <c r="D171" s="13"/>
      <c r="E171" s="16"/>
    </row>
    <row r="172" spans="3:5" x14ac:dyDescent="0.3">
      <c r="C172" s="13"/>
      <c r="D172" s="13"/>
      <c r="E172" s="16"/>
    </row>
    <row r="173" spans="3:5" x14ac:dyDescent="0.3">
      <c r="C173" s="13"/>
      <c r="D173" s="13"/>
      <c r="E173" s="16"/>
    </row>
    <row r="174" spans="3:5" x14ac:dyDescent="0.3">
      <c r="C174" s="13"/>
      <c r="D174" s="13"/>
      <c r="E174" s="16"/>
    </row>
    <row r="175" spans="3:5" x14ac:dyDescent="0.3">
      <c r="C175" s="13"/>
      <c r="D175" s="13"/>
      <c r="E175" s="16"/>
    </row>
    <row r="176" spans="3:5" x14ac:dyDescent="0.3">
      <c r="C176" s="13"/>
      <c r="D176" s="13"/>
      <c r="E176" s="16"/>
    </row>
    <row r="177" spans="3:5" x14ac:dyDescent="0.3">
      <c r="C177" s="13"/>
      <c r="D177" s="13"/>
      <c r="E177" s="16"/>
    </row>
    <row r="178" spans="3:5" x14ac:dyDescent="0.3">
      <c r="C178" s="13"/>
      <c r="D178" s="13"/>
      <c r="E178" s="16"/>
    </row>
    <row r="179" spans="3:5" x14ac:dyDescent="0.3">
      <c r="C179" s="13"/>
      <c r="D179" s="13"/>
      <c r="E179" s="16"/>
    </row>
    <row r="180" spans="3:5" x14ac:dyDescent="0.3">
      <c r="C180" s="13"/>
      <c r="D180" s="13"/>
      <c r="E180" s="16"/>
    </row>
    <row r="181" spans="3:5" x14ac:dyDescent="0.3">
      <c r="C181" s="13"/>
      <c r="D181" s="13"/>
      <c r="E181" s="16"/>
    </row>
    <row r="182" spans="3:5" x14ac:dyDescent="0.3">
      <c r="C182" s="13"/>
      <c r="D182" s="13"/>
      <c r="E182" s="16"/>
    </row>
    <row r="183" spans="3:5" x14ac:dyDescent="0.3">
      <c r="C183" s="13"/>
      <c r="D183" s="13"/>
      <c r="E183" s="16"/>
    </row>
    <row r="184" spans="3:5" x14ac:dyDescent="0.3">
      <c r="C184" s="13"/>
      <c r="D184" s="13"/>
      <c r="E184" s="16"/>
    </row>
    <row r="185" spans="3:5" x14ac:dyDescent="0.3">
      <c r="C185" s="13"/>
      <c r="D185" s="13"/>
      <c r="E185" s="16"/>
    </row>
    <row r="186" spans="3:5" x14ac:dyDescent="0.3">
      <c r="C186" s="13"/>
      <c r="D186" s="13"/>
      <c r="E186" s="16"/>
    </row>
    <row r="187" spans="3:5" x14ac:dyDescent="0.3">
      <c r="C187" s="13"/>
      <c r="D187" s="13"/>
      <c r="E187" s="16"/>
    </row>
    <row r="188" spans="3:5" x14ac:dyDescent="0.3">
      <c r="C188" s="13"/>
      <c r="D188" s="13"/>
      <c r="E188" s="16"/>
    </row>
    <row r="189" spans="3:5" x14ac:dyDescent="0.3">
      <c r="C189" s="13"/>
      <c r="D189" s="13"/>
      <c r="E189" s="16"/>
    </row>
    <row r="190" spans="3:5" x14ac:dyDescent="0.3">
      <c r="C190" s="13"/>
      <c r="D190" s="13"/>
      <c r="E190" s="16"/>
    </row>
    <row r="191" spans="3:5" x14ac:dyDescent="0.3">
      <c r="C191" s="13"/>
      <c r="D191" s="13"/>
      <c r="E191" s="16"/>
    </row>
    <row r="192" spans="3:5" x14ac:dyDescent="0.3">
      <c r="C192" s="13"/>
      <c r="D192" s="13"/>
      <c r="E192" s="16"/>
    </row>
    <row r="193" spans="3:5" x14ac:dyDescent="0.3">
      <c r="C193" s="13"/>
      <c r="D193" s="13"/>
      <c r="E193" s="16"/>
    </row>
    <row r="194" spans="3:5" x14ac:dyDescent="0.3">
      <c r="C194" s="13"/>
      <c r="D194" s="13"/>
      <c r="E194" s="16"/>
    </row>
    <row r="195" spans="3:5" x14ac:dyDescent="0.3">
      <c r="C195" s="13"/>
      <c r="D195" s="13"/>
      <c r="E195" s="16"/>
    </row>
    <row r="196" spans="3:5" x14ac:dyDescent="0.3">
      <c r="C196" s="13"/>
      <c r="D196" s="13"/>
      <c r="E196" s="16"/>
    </row>
    <row r="197" spans="3:5" x14ac:dyDescent="0.3">
      <c r="C197" s="13"/>
      <c r="D197" s="13"/>
      <c r="E197" s="16"/>
    </row>
    <row r="198" spans="3:5" x14ac:dyDescent="0.3">
      <c r="C198" s="13"/>
      <c r="D198" s="13"/>
      <c r="E198" s="16"/>
    </row>
    <row r="199" spans="3:5" x14ac:dyDescent="0.3">
      <c r="C199" s="13"/>
      <c r="D199" s="13"/>
      <c r="E199" s="16"/>
    </row>
    <row r="200" spans="3:5" x14ac:dyDescent="0.3">
      <c r="C200" s="13"/>
      <c r="D200" s="13"/>
      <c r="E200" s="16"/>
    </row>
    <row r="201" spans="3:5" x14ac:dyDescent="0.3">
      <c r="C201" s="13"/>
      <c r="D201" s="13"/>
      <c r="E201" s="16"/>
    </row>
    <row r="202" spans="3:5" x14ac:dyDescent="0.3">
      <c r="C202" s="13"/>
      <c r="D202" s="13"/>
      <c r="E202" s="16"/>
    </row>
    <row r="203" spans="3:5" x14ac:dyDescent="0.3">
      <c r="C203" s="13"/>
      <c r="D203" s="13"/>
      <c r="E203" s="16"/>
    </row>
    <row r="204" spans="3:5" x14ac:dyDescent="0.3">
      <c r="C204" s="13"/>
      <c r="D204" s="13"/>
      <c r="E204" s="16"/>
    </row>
    <row r="205" spans="3:5" x14ac:dyDescent="0.3">
      <c r="C205" s="13"/>
      <c r="D205" s="13"/>
      <c r="E205" s="16"/>
    </row>
    <row r="206" spans="3:5" x14ac:dyDescent="0.3">
      <c r="C206" s="13"/>
      <c r="D206" s="13"/>
      <c r="E206" s="16"/>
    </row>
    <row r="207" spans="3:5" x14ac:dyDescent="0.3">
      <c r="C207" s="13"/>
      <c r="D207" s="13"/>
      <c r="E207" s="16"/>
    </row>
    <row r="208" spans="3:5" x14ac:dyDescent="0.3">
      <c r="C208" s="13"/>
      <c r="D208" s="13"/>
      <c r="E208" s="16"/>
    </row>
  </sheetData>
  <pageMargins left="0.94513888888888897" right="0.15763888888888888" top="0.98402777777777783" bottom="0.39374999999999999" header="0.51180555555555562" footer="0.51180555555555562"/>
  <pageSetup paperSize="9" scale="72" firstPageNumber="0" orientation="portrait" horizontalDpi="3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9"/>
  <sheetViews>
    <sheetView topLeftCell="J1" zoomScaleSheetLayoutView="75" workbookViewId="0">
      <selection activeCell="Q17" sqref="Q17"/>
    </sheetView>
  </sheetViews>
  <sheetFormatPr defaultColWidth="9.08984375" defaultRowHeight="12.5" x14ac:dyDescent="0.25"/>
  <cols>
    <col min="1" max="1" width="2.453125" style="1" customWidth="1"/>
    <col min="2" max="2" width="30.7265625" style="1" customWidth="1"/>
    <col min="3" max="5" width="0" style="25" hidden="1" customWidth="1"/>
    <col min="6" max="6" width="12.453125" style="25" customWidth="1"/>
    <col min="7" max="7" width="13.81640625" style="25" customWidth="1"/>
    <col min="8" max="9" width="12.54296875" style="25" customWidth="1"/>
    <col min="10" max="11" width="13.54296875" style="25" customWidth="1"/>
    <col min="12" max="12" width="11.7265625" style="25" customWidth="1"/>
    <col min="13" max="14" width="13.26953125" style="25" customWidth="1"/>
    <col min="15" max="15" width="12.08984375" style="25" customWidth="1"/>
    <col min="16" max="16" width="13.81640625" style="25" customWidth="1"/>
    <col min="17" max="17" width="12.81640625" style="25" customWidth="1"/>
    <col min="18" max="53" width="0" style="25" hidden="1" customWidth="1"/>
    <col min="54" max="16384" width="9.08984375" style="1"/>
  </cols>
  <sheetData>
    <row r="1" spans="1:53" ht="15.5" x14ac:dyDescent="0.35">
      <c r="A1" s="26" t="s">
        <v>0</v>
      </c>
      <c r="B1" s="27"/>
    </row>
    <row r="2" spans="1:53" ht="15.5" x14ac:dyDescent="0.35">
      <c r="A2" s="26" t="s">
        <v>197</v>
      </c>
      <c r="B2" s="27"/>
    </row>
    <row r="3" spans="1:53" ht="15.5" x14ac:dyDescent="0.35">
      <c r="A3" s="26" t="s">
        <v>63</v>
      </c>
      <c r="B3" s="27"/>
      <c r="E3" s="60"/>
    </row>
    <row r="5" spans="1:53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</row>
    <row r="6" spans="1:53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</row>
    <row r="7" spans="1:53" ht="15.5" x14ac:dyDescent="0.35">
      <c r="A7" s="26" t="s">
        <v>199</v>
      </c>
    </row>
    <row r="8" spans="1:53" x14ac:dyDescent="0.25">
      <c r="B8" s="34" t="s">
        <v>200</v>
      </c>
      <c r="D8" s="25">
        <f>C12</f>
        <v>19666.666666666668</v>
      </c>
      <c r="E8" s="25">
        <f>D12</f>
        <v>19338.888888888891</v>
      </c>
      <c r="F8" s="25">
        <f>'Bal Sheet Workings'!F8</f>
        <v>0</v>
      </c>
      <c r="G8" s="25">
        <f>'Bal Sheet Workings'!G8</f>
        <v>19666.666666666668</v>
      </c>
      <c r="H8" s="25">
        <f>'Bal Sheet Workings'!H8</f>
        <v>19338.888888888891</v>
      </c>
      <c r="I8" s="25">
        <f>'Bal Sheet Workings'!I8</f>
        <v>19016.574074074077</v>
      </c>
      <c r="J8" s="25">
        <f>'Bal Sheet Workings'!J8</f>
        <v>18699.631172839509</v>
      </c>
      <c r="K8" s="25">
        <f>'Bal Sheet Workings'!K8</f>
        <v>18387.970653292185</v>
      </c>
      <c r="L8" s="25">
        <f>'Bal Sheet Workings'!L8</f>
        <v>18081.504475737314</v>
      </c>
      <c r="M8" s="25">
        <f>'Bal Sheet Workings'!M8</f>
        <v>17780.14606780836</v>
      </c>
      <c r="N8" s="25">
        <f>'Bal Sheet Workings'!N8</f>
        <v>17483.810300011555</v>
      </c>
      <c r="O8" s="25">
        <f>'Bal Sheet Workings'!O8</f>
        <v>17192.413461678028</v>
      </c>
      <c r="P8" s="25">
        <f>'Bal Sheet Workings'!P8</f>
        <v>16905.87323731673</v>
      </c>
      <c r="Q8" s="25">
        <f>'Bal Sheet Workings'!Q8</f>
        <v>16624.10868336145</v>
      </c>
      <c r="R8" s="25">
        <f>'Bal Sheet Workings'!R8</f>
        <v>16347.040205305426</v>
      </c>
      <c r="S8" s="25">
        <f>'Bal Sheet Workings'!S8</f>
        <v>16074.589535217003</v>
      </c>
      <c r="T8" s="25">
        <f>'Bal Sheet Workings'!T8</f>
        <v>15806.679709630052</v>
      </c>
      <c r="U8" s="25">
        <f>'Bal Sheet Workings'!U8</f>
        <v>15543.235047802886</v>
      </c>
      <c r="V8" s="25">
        <f>'Bal Sheet Workings'!V8</f>
        <v>15284.181130339504</v>
      </c>
      <c r="W8" s="25">
        <f>'Bal Sheet Workings'!W8</f>
        <v>15029.444778167179</v>
      </c>
      <c r="X8" s="25">
        <f>'Bal Sheet Workings'!X8</f>
        <v>14778.954031864392</v>
      </c>
      <c r="Y8" s="25">
        <f>'Bal Sheet Workings'!Y8</f>
        <v>14532.638131333319</v>
      </c>
      <c r="Z8" s="25">
        <f>'Bal Sheet Workings'!Z8</f>
        <v>14290.427495811096</v>
      </c>
      <c r="AA8" s="25">
        <f>'Bal Sheet Workings'!AA8</f>
        <v>14052.253704214245</v>
      </c>
      <c r="AB8" s="25">
        <f>'Bal Sheet Workings'!AB8</f>
        <v>13818.049475810674</v>
      </c>
      <c r="AC8" s="25">
        <f>'Bal Sheet Workings'!AC8</f>
        <v>13587.748651213829</v>
      </c>
      <c r="AD8" s="25">
        <f>'Bal Sheet Workings'!AD8</f>
        <v>13361.286173693599</v>
      </c>
      <c r="AE8" s="25">
        <f>'Bal Sheet Workings'!AE8</f>
        <v>13138.598070798706</v>
      </c>
      <c r="AF8" s="25">
        <f>'Bal Sheet Workings'!AF8</f>
        <v>12919.621436285393</v>
      </c>
      <c r="AG8" s="25">
        <f>'Bal Sheet Workings'!AG8</f>
        <v>12704.294412347304</v>
      </c>
      <c r="AH8" s="25">
        <f>'Bal Sheet Workings'!AH8</f>
        <v>12492.556172141516</v>
      </c>
      <c r="AI8" s="25">
        <f>'Bal Sheet Workings'!AI8</f>
        <v>12284.346902605825</v>
      </c>
      <c r="AJ8" s="25">
        <f>'Bal Sheet Workings'!AJ8</f>
        <v>12079.607787562394</v>
      </c>
      <c r="AK8" s="25">
        <f>'Bal Sheet Workings'!AK8</f>
        <v>11878.280991103022</v>
      </c>
      <c r="AL8" s="25">
        <f>'Bal Sheet Workings'!AL8</f>
        <v>11680.309641251304</v>
      </c>
      <c r="AM8" s="25">
        <f>'Bal Sheet Workings'!AM8</f>
        <v>11485.637813897116</v>
      </c>
      <c r="AN8" s="25">
        <f>'Bal Sheet Workings'!AN8</f>
        <v>11294.21051699883</v>
      </c>
      <c r="AO8" s="25">
        <f>'Bal Sheet Workings'!AO8</f>
        <v>11105.97367504885</v>
      </c>
      <c r="AP8" s="25">
        <f>'Bal Sheet Workings'!AP8</f>
        <v>10920.874113798036</v>
      </c>
      <c r="AQ8" s="25">
        <f>'Bal Sheet Workings'!AQ8</f>
        <v>10738.859545234736</v>
      </c>
      <c r="AR8" s="25">
        <f>'Bal Sheet Workings'!AR8</f>
        <v>10559.878552814158</v>
      </c>
      <c r="AS8" s="25">
        <f>'Bal Sheet Workings'!AS8</f>
        <v>10383.880576933921</v>
      </c>
      <c r="AT8" s="25">
        <f>'Bal Sheet Workings'!AT8</f>
        <v>10210.815900651689</v>
      </c>
      <c r="AU8" s="25">
        <f>'Bal Sheet Workings'!AU8</f>
        <v>10040.635635640827</v>
      </c>
      <c r="AV8" s="25">
        <f>'Bal Sheet Workings'!AV8</f>
        <v>9873.2917083801458</v>
      </c>
      <c r="AW8" s="25">
        <f>'Bal Sheet Workings'!AW8</f>
        <v>9708.7368465738109</v>
      </c>
      <c r="AX8" s="25">
        <f>'Bal Sheet Workings'!AX8</f>
        <v>9546.9245657975807</v>
      </c>
      <c r="AY8" s="25">
        <f>'Bal Sheet Workings'!AY8</f>
        <v>9387.8091563676207</v>
      </c>
      <c r="AZ8" s="25">
        <f>'Bal Sheet Workings'!AZ8</f>
        <v>9231.3456704281598</v>
      </c>
      <c r="BA8" s="25">
        <f>'Bal Sheet Workings'!BA8</f>
        <v>9077.4899092543565</v>
      </c>
    </row>
    <row r="9" spans="1:53" x14ac:dyDescent="0.25">
      <c r="B9" s="34" t="s">
        <v>201</v>
      </c>
      <c r="C9" s="25">
        <v>20000</v>
      </c>
      <c r="F9" s="25">
        <f>'Bal Sheet Workings'!F9</f>
        <v>20000</v>
      </c>
    </row>
    <row r="10" spans="1:53" x14ac:dyDescent="0.25">
      <c r="B10" s="34" t="s">
        <v>202</v>
      </c>
      <c r="C10" s="25">
        <f>-(C8+C9)*0.2/12</f>
        <v>-333.33333333333331</v>
      </c>
      <c r="D10" s="25">
        <f>-(D8+D9)*0.2/12</f>
        <v>-327.77777777777783</v>
      </c>
      <c r="E10" s="25">
        <f>-(E8+E9)*0.2/12</f>
        <v>-322.31481481481484</v>
      </c>
      <c r="F10" s="25">
        <f>'Bal Sheet Workings'!F10</f>
        <v>-333.33333333333331</v>
      </c>
      <c r="G10" s="25">
        <f>'Bal Sheet Workings'!G10</f>
        <v>-327.77777777777783</v>
      </c>
      <c r="H10" s="25">
        <f>'Bal Sheet Workings'!H10</f>
        <v>-322.31481481481484</v>
      </c>
      <c r="I10" s="25">
        <f>'Bal Sheet Workings'!I10</f>
        <v>-316.94290123456796</v>
      </c>
      <c r="J10" s="25">
        <f>'Bal Sheet Workings'!J10</f>
        <v>-311.66051954732512</v>
      </c>
      <c r="K10" s="25">
        <f>'Bal Sheet Workings'!K10</f>
        <v>-306.46617755486977</v>
      </c>
      <c r="L10" s="25">
        <f>'Bal Sheet Workings'!L10</f>
        <v>-301.35840792895527</v>
      </c>
      <c r="M10" s="25">
        <f>'Bal Sheet Workings'!M10</f>
        <v>-296.33576779680601</v>
      </c>
      <c r="N10" s="25">
        <f>'Bal Sheet Workings'!N10</f>
        <v>-291.39683833352592</v>
      </c>
      <c r="O10" s="25">
        <f>'Bal Sheet Workings'!O10</f>
        <v>-286.54022436130049</v>
      </c>
      <c r="P10" s="25">
        <f>'Bal Sheet Workings'!P10</f>
        <v>-281.76455395527881</v>
      </c>
      <c r="Q10" s="25">
        <f>'Bal Sheet Workings'!Q10</f>
        <v>-277.06847805602416</v>
      </c>
      <c r="R10" s="25">
        <f t="shared" ref="R10:BA10" si="0">-(R8+R9)*0.2/12</f>
        <v>-272.45067008842381</v>
      </c>
      <c r="S10" s="25">
        <f t="shared" si="0"/>
        <v>-267.90982558695003</v>
      </c>
      <c r="T10" s="25">
        <f t="shared" si="0"/>
        <v>-263.44466182716752</v>
      </c>
      <c r="U10" s="25">
        <f t="shared" si="0"/>
        <v>-259.05391746338142</v>
      </c>
      <c r="V10" s="25">
        <f t="shared" si="0"/>
        <v>-254.73635217232507</v>
      </c>
      <c r="W10" s="25">
        <f t="shared" si="0"/>
        <v>-250.49074630278633</v>
      </c>
      <c r="X10" s="25">
        <f t="shared" si="0"/>
        <v>-246.31590053107323</v>
      </c>
      <c r="Y10" s="25">
        <f t="shared" si="0"/>
        <v>-242.21063552222199</v>
      </c>
      <c r="Z10" s="25">
        <f t="shared" si="0"/>
        <v>-238.17379159685163</v>
      </c>
      <c r="AA10" s="25">
        <f t="shared" si="0"/>
        <v>-234.20422840357074</v>
      </c>
      <c r="AB10" s="25">
        <f t="shared" si="0"/>
        <v>-230.30082459684459</v>
      </c>
      <c r="AC10" s="25">
        <f t="shared" si="0"/>
        <v>-226.46247752023052</v>
      </c>
      <c r="AD10" s="25">
        <f t="shared" si="0"/>
        <v>-222.68810289489332</v>
      </c>
      <c r="AE10" s="25">
        <f t="shared" si="0"/>
        <v>-218.97663451331178</v>
      </c>
      <c r="AF10" s="25">
        <f t="shared" si="0"/>
        <v>-215.32702393808992</v>
      </c>
      <c r="AG10" s="25">
        <f t="shared" si="0"/>
        <v>-211.73824020578843</v>
      </c>
      <c r="AH10" s="25">
        <f t="shared" si="0"/>
        <v>-208.20926953569196</v>
      </c>
      <c r="AI10" s="25">
        <f t="shared" si="0"/>
        <v>-204.73911504343042</v>
      </c>
      <c r="AJ10" s="25">
        <f t="shared" si="0"/>
        <v>-201.32679645937324</v>
      </c>
      <c r="AK10" s="25">
        <f t="shared" si="0"/>
        <v>-197.97134985171704</v>
      </c>
      <c r="AL10" s="25">
        <f t="shared" si="0"/>
        <v>-194.67182735418839</v>
      </c>
      <c r="AM10" s="25">
        <f t="shared" si="0"/>
        <v>-191.42729689828528</v>
      </c>
      <c r="AN10" s="25">
        <f t="shared" si="0"/>
        <v>-188.23684194998052</v>
      </c>
      <c r="AO10" s="25">
        <f t="shared" si="0"/>
        <v>-185.09956125081419</v>
      </c>
      <c r="AP10" s="25">
        <f t="shared" si="0"/>
        <v>-182.0145685633006</v>
      </c>
      <c r="AQ10" s="25">
        <f t="shared" si="0"/>
        <v>-178.98099242057893</v>
      </c>
      <c r="AR10" s="25">
        <f t="shared" si="0"/>
        <v>-175.997975880236</v>
      </c>
      <c r="AS10" s="25">
        <f t="shared" si="0"/>
        <v>-173.06467628223206</v>
      </c>
      <c r="AT10" s="25">
        <f t="shared" si="0"/>
        <v>-170.18026501086149</v>
      </c>
      <c r="AU10" s="25">
        <f t="shared" si="0"/>
        <v>-167.34392726068046</v>
      </c>
      <c r="AV10" s="25">
        <f t="shared" si="0"/>
        <v>-164.55486180633577</v>
      </c>
      <c r="AW10" s="25">
        <f t="shared" si="0"/>
        <v>-161.81228077623018</v>
      </c>
      <c r="AX10" s="25">
        <f t="shared" si="0"/>
        <v>-159.11540942995967</v>
      </c>
      <c r="AY10" s="25">
        <f t="shared" si="0"/>
        <v>-156.46348593946036</v>
      </c>
      <c r="AZ10" s="25">
        <f t="shared" si="0"/>
        <v>-153.85576117380268</v>
      </c>
      <c r="BA10" s="25">
        <f t="shared" si="0"/>
        <v>-151.29149848757262</v>
      </c>
    </row>
    <row r="11" spans="1:53" x14ac:dyDescent="0.25">
      <c r="B11" s="34"/>
    </row>
    <row r="12" spans="1:53" s="2" customFormat="1" ht="13" x14ac:dyDescent="0.3">
      <c r="C12" s="35">
        <f t="shared" ref="C12:AH12" si="1">SUM(C8:C11)</f>
        <v>19666.666666666668</v>
      </c>
      <c r="D12" s="35">
        <f t="shared" si="1"/>
        <v>19338.888888888891</v>
      </c>
      <c r="E12" s="35">
        <f t="shared" si="1"/>
        <v>19016.574074074077</v>
      </c>
      <c r="F12" s="35">
        <f t="shared" si="1"/>
        <v>19666.666666666668</v>
      </c>
      <c r="G12" s="35">
        <f t="shared" si="1"/>
        <v>19338.888888888891</v>
      </c>
      <c r="H12" s="35">
        <f t="shared" si="1"/>
        <v>19016.574074074077</v>
      </c>
      <c r="I12" s="35">
        <f t="shared" si="1"/>
        <v>18699.631172839509</v>
      </c>
      <c r="J12" s="35">
        <f t="shared" si="1"/>
        <v>18387.970653292185</v>
      </c>
      <c r="K12" s="35">
        <f t="shared" si="1"/>
        <v>18081.504475737314</v>
      </c>
      <c r="L12" s="35">
        <f t="shared" si="1"/>
        <v>17780.14606780836</v>
      </c>
      <c r="M12" s="35">
        <f t="shared" si="1"/>
        <v>17483.810300011555</v>
      </c>
      <c r="N12" s="35">
        <f t="shared" si="1"/>
        <v>17192.413461678028</v>
      </c>
      <c r="O12" s="35">
        <f t="shared" si="1"/>
        <v>16905.87323731673</v>
      </c>
      <c r="P12" s="35">
        <f t="shared" si="1"/>
        <v>16624.10868336145</v>
      </c>
      <c r="Q12" s="35">
        <f t="shared" si="1"/>
        <v>16347.040205305426</v>
      </c>
      <c r="R12" s="35">
        <f t="shared" si="1"/>
        <v>16074.589535217003</v>
      </c>
      <c r="S12" s="35">
        <f t="shared" si="1"/>
        <v>15806.679709630052</v>
      </c>
      <c r="T12" s="35">
        <f t="shared" si="1"/>
        <v>15543.235047802886</v>
      </c>
      <c r="U12" s="35">
        <f t="shared" si="1"/>
        <v>15284.181130339504</v>
      </c>
      <c r="V12" s="35">
        <f t="shared" si="1"/>
        <v>15029.444778167179</v>
      </c>
      <c r="W12" s="35">
        <f t="shared" si="1"/>
        <v>14778.954031864392</v>
      </c>
      <c r="X12" s="35">
        <f t="shared" si="1"/>
        <v>14532.638131333319</v>
      </c>
      <c r="Y12" s="35">
        <f t="shared" si="1"/>
        <v>14290.427495811096</v>
      </c>
      <c r="Z12" s="35">
        <f t="shared" si="1"/>
        <v>14052.253704214245</v>
      </c>
      <c r="AA12" s="35">
        <f t="shared" si="1"/>
        <v>13818.049475810674</v>
      </c>
      <c r="AB12" s="35">
        <f t="shared" si="1"/>
        <v>13587.748651213829</v>
      </c>
      <c r="AC12" s="35">
        <f t="shared" si="1"/>
        <v>13361.286173693599</v>
      </c>
      <c r="AD12" s="35">
        <f t="shared" si="1"/>
        <v>13138.598070798706</v>
      </c>
      <c r="AE12" s="35">
        <f t="shared" si="1"/>
        <v>12919.621436285393</v>
      </c>
      <c r="AF12" s="35">
        <f t="shared" si="1"/>
        <v>12704.294412347304</v>
      </c>
      <c r="AG12" s="35">
        <f t="shared" si="1"/>
        <v>12492.556172141516</v>
      </c>
      <c r="AH12" s="35">
        <f t="shared" si="1"/>
        <v>12284.346902605825</v>
      </c>
      <c r="AI12" s="35">
        <f t="shared" ref="AI12:BA12" si="2">SUM(AI8:AI11)</f>
        <v>12079.607787562394</v>
      </c>
      <c r="AJ12" s="35">
        <f t="shared" si="2"/>
        <v>11878.280991103022</v>
      </c>
      <c r="AK12" s="35">
        <f t="shared" si="2"/>
        <v>11680.309641251304</v>
      </c>
      <c r="AL12" s="35">
        <f t="shared" si="2"/>
        <v>11485.637813897116</v>
      </c>
      <c r="AM12" s="35">
        <f t="shared" si="2"/>
        <v>11294.21051699883</v>
      </c>
      <c r="AN12" s="35">
        <f t="shared" si="2"/>
        <v>11105.97367504885</v>
      </c>
      <c r="AO12" s="35">
        <f t="shared" si="2"/>
        <v>10920.874113798036</v>
      </c>
      <c r="AP12" s="35">
        <f t="shared" si="2"/>
        <v>10738.859545234736</v>
      </c>
      <c r="AQ12" s="35">
        <f t="shared" si="2"/>
        <v>10559.878552814158</v>
      </c>
      <c r="AR12" s="35">
        <f t="shared" si="2"/>
        <v>10383.880576933921</v>
      </c>
      <c r="AS12" s="35">
        <f t="shared" si="2"/>
        <v>10210.815900651689</v>
      </c>
      <c r="AT12" s="35">
        <f t="shared" si="2"/>
        <v>10040.635635640827</v>
      </c>
      <c r="AU12" s="35">
        <f t="shared" si="2"/>
        <v>9873.2917083801458</v>
      </c>
      <c r="AV12" s="35">
        <f t="shared" si="2"/>
        <v>9708.7368465738109</v>
      </c>
      <c r="AW12" s="35">
        <f t="shared" si="2"/>
        <v>9546.9245657975807</v>
      </c>
      <c r="AX12" s="35">
        <f t="shared" si="2"/>
        <v>9387.8091563676207</v>
      </c>
      <c r="AY12" s="35">
        <f t="shared" si="2"/>
        <v>9231.3456704281598</v>
      </c>
      <c r="AZ12" s="35">
        <f t="shared" si="2"/>
        <v>9077.4899092543565</v>
      </c>
      <c r="BA12" s="35">
        <f t="shared" si="2"/>
        <v>8926.1984107667831</v>
      </c>
    </row>
    <row r="14" spans="1:53" ht="15.5" x14ac:dyDescent="0.35">
      <c r="A14" s="26" t="s">
        <v>203</v>
      </c>
    </row>
    <row r="15" spans="1:53" ht="15" customHeight="1" x14ac:dyDescent="0.35">
      <c r="A15" s="26"/>
      <c r="B15" s="1" t="s">
        <v>204</v>
      </c>
      <c r="C15" s="25">
        <f>'Cashflow Workings'!C35</f>
        <v>0</v>
      </c>
      <c r="D15" s="25">
        <f>C15+'Cashflow Workings'!D35</f>
        <v>0</v>
      </c>
      <c r="E15" s="25" t="e">
        <f>D15+'Cashflow Workings'!#REF!</f>
        <v>#REF!</v>
      </c>
      <c r="F15" s="25">
        <f>'Bal Sheet Workings'!F15</f>
        <v>300000</v>
      </c>
      <c r="G15" s="25">
        <f>'Bal Sheet Workings'!G15</f>
        <v>300000</v>
      </c>
      <c r="H15" s="25">
        <f>'Bal Sheet Workings'!H15</f>
        <v>300000</v>
      </c>
      <c r="I15" s="25">
        <f>'Bal Sheet Workings'!I15</f>
        <v>300000</v>
      </c>
      <c r="J15" s="25">
        <f>'Bal Sheet Workings'!J15</f>
        <v>300000</v>
      </c>
      <c r="K15" s="25">
        <f>'Bal Sheet Workings'!K15</f>
        <v>300000</v>
      </c>
      <c r="L15" s="25">
        <f>'Bal Sheet Workings'!L15</f>
        <v>300000</v>
      </c>
      <c r="M15" s="25">
        <f>'Bal Sheet Workings'!M15</f>
        <v>300000</v>
      </c>
      <c r="N15" s="25">
        <f>'Bal Sheet Workings'!N15</f>
        <v>300000</v>
      </c>
      <c r="O15" s="25">
        <f>'Bal Sheet Workings'!O15</f>
        <v>300000</v>
      </c>
      <c r="P15" s="25">
        <f>'Bal Sheet Workings'!P15</f>
        <v>300000</v>
      </c>
      <c r="Q15" s="25">
        <f>'Bal Sheet Workings'!Q15</f>
        <v>300000</v>
      </c>
      <c r="R15" s="25">
        <f>'Bal Sheet Workings'!R15</f>
        <v>300000</v>
      </c>
      <c r="S15" s="25">
        <f>'Bal Sheet Workings'!S15</f>
        <v>300000</v>
      </c>
      <c r="T15" s="25">
        <f>'Bal Sheet Workings'!T15</f>
        <v>300000</v>
      </c>
      <c r="U15" s="25">
        <f>'Bal Sheet Workings'!U15</f>
        <v>300000</v>
      </c>
      <c r="V15" s="25">
        <f>'Bal Sheet Workings'!V15</f>
        <v>300000</v>
      </c>
      <c r="W15" s="25">
        <f>'Bal Sheet Workings'!W15</f>
        <v>300000</v>
      </c>
      <c r="X15" s="25">
        <f>'Bal Sheet Workings'!X15</f>
        <v>300000</v>
      </c>
      <c r="Y15" s="25">
        <f>'Bal Sheet Workings'!Y15</f>
        <v>300000</v>
      </c>
      <c r="Z15" s="25">
        <f>'Bal Sheet Workings'!Z15</f>
        <v>300000</v>
      </c>
      <c r="AA15" s="25">
        <f>'Bal Sheet Workings'!AA15</f>
        <v>300000</v>
      </c>
      <c r="AB15" s="25">
        <f>'Bal Sheet Workings'!AB15</f>
        <v>300000</v>
      </c>
      <c r="AC15" s="25">
        <f>'Bal Sheet Workings'!AC15</f>
        <v>300000</v>
      </c>
      <c r="AD15" s="25">
        <f>'Bal Sheet Workings'!AD15</f>
        <v>300000</v>
      </c>
      <c r="AE15" s="25">
        <f>'Bal Sheet Workings'!AE15</f>
        <v>300000</v>
      </c>
      <c r="AF15" s="25">
        <f>'Bal Sheet Workings'!AF15</f>
        <v>300000</v>
      </c>
      <c r="AG15" s="25">
        <f>'Bal Sheet Workings'!AG15</f>
        <v>300000</v>
      </c>
      <c r="AH15" s="25">
        <f>'Bal Sheet Workings'!AH15</f>
        <v>300000</v>
      </c>
      <c r="AI15" s="25">
        <f>'Bal Sheet Workings'!AI15</f>
        <v>300000</v>
      </c>
      <c r="AJ15" s="25">
        <f>'Bal Sheet Workings'!AJ15</f>
        <v>300000</v>
      </c>
      <c r="AK15" s="25">
        <f>'Bal Sheet Workings'!AK15</f>
        <v>300000</v>
      </c>
      <c r="AL15" s="25">
        <f>'Bal Sheet Workings'!AL15</f>
        <v>300000</v>
      </c>
      <c r="AM15" s="25">
        <f>'Bal Sheet Workings'!AM15</f>
        <v>300000</v>
      </c>
      <c r="AN15" s="25">
        <f>'Bal Sheet Workings'!AN15</f>
        <v>300000</v>
      </c>
      <c r="AO15" s="25">
        <f>'Bal Sheet Workings'!AO15</f>
        <v>300000</v>
      </c>
      <c r="AP15" s="25">
        <f>'Bal Sheet Workings'!AP15</f>
        <v>300000</v>
      </c>
      <c r="AQ15" s="25">
        <f>'Bal Sheet Workings'!AQ15</f>
        <v>300000</v>
      </c>
      <c r="AR15" s="25">
        <f>'Bal Sheet Workings'!AR15</f>
        <v>300000</v>
      </c>
      <c r="AS15" s="25">
        <f>'Bal Sheet Workings'!AS15</f>
        <v>300000</v>
      </c>
      <c r="AT15" s="25">
        <f>'Bal Sheet Workings'!AT15</f>
        <v>300000</v>
      </c>
      <c r="AU15" s="25">
        <f>'Bal Sheet Workings'!AU15</f>
        <v>300000</v>
      </c>
      <c r="AV15" s="25">
        <f>'Bal Sheet Workings'!AV15</f>
        <v>300000</v>
      </c>
      <c r="AW15" s="25">
        <f>'Bal Sheet Workings'!AW15</f>
        <v>300000</v>
      </c>
      <c r="AX15" s="25">
        <f>'Bal Sheet Workings'!AX15</f>
        <v>300000</v>
      </c>
      <c r="AY15" s="25">
        <f>'Bal Sheet Workings'!AY15</f>
        <v>300000</v>
      </c>
      <c r="AZ15" s="25">
        <f>'Bal Sheet Workings'!AZ15</f>
        <v>300000</v>
      </c>
      <c r="BA15" s="25">
        <f>'Bal Sheet Workings'!BA15</f>
        <v>300000</v>
      </c>
    </row>
    <row r="16" spans="1:53" ht="14.25" customHeight="1" x14ac:dyDescent="0.35">
      <c r="A16" s="26"/>
      <c r="B16" s="1" t="s">
        <v>205</v>
      </c>
      <c r="C16" s="25">
        <f>'Cashflow Workings'!C21</f>
        <v>0</v>
      </c>
      <c r="D16" s="25">
        <f>C16+'Cashflow Workings'!D21-'Cashflow Workings'!D15</f>
        <v>0</v>
      </c>
      <c r="E16" s="25">
        <f>D16+'Cashflow Workings'!E21-'Cashflow Workings'!E15</f>
        <v>0</v>
      </c>
      <c r="F16" s="25">
        <f>'Bal Sheet Workings'!F16</f>
        <v>0</v>
      </c>
      <c r="G16" s="25">
        <f>'Bal Sheet Workings'!G16</f>
        <v>0</v>
      </c>
      <c r="H16" s="25">
        <f>'Bal Sheet Workings'!H16</f>
        <v>0</v>
      </c>
      <c r="I16" s="25">
        <f>'Bal Sheet Workings'!I16</f>
        <v>0</v>
      </c>
      <c r="J16" s="25">
        <f>'Bal Sheet Workings'!J16</f>
        <v>0</v>
      </c>
      <c r="K16" s="25">
        <f>'Bal Sheet Workings'!K16</f>
        <v>0</v>
      </c>
      <c r="L16" s="25">
        <f>'Bal Sheet Workings'!L16</f>
        <v>0</v>
      </c>
      <c r="M16" s="25">
        <f>'Bal Sheet Workings'!M16</f>
        <v>0</v>
      </c>
      <c r="N16" s="25">
        <f>'Bal Sheet Workings'!N16</f>
        <v>0</v>
      </c>
      <c r="O16" s="25">
        <f>'Bal Sheet Workings'!O16</f>
        <v>0</v>
      </c>
      <c r="P16" s="25">
        <f>'Bal Sheet Workings'!P16</f>
        <v>0</v>
      </c>
      <c r="Q16" s="25">
        <f>'Bal Sheet Workings'!Q16</f>
        <v>0</v>
      </c>
      <c r="R16" s="25">
        <f>'Bal Sheet Workings'!R16</f>
        <v>0</v>
      </c>
      <c r="S16" s="25">
        <f>'Bal Sheet Workings'!S16</f>
        <v>0</v>
      </c>
      <c r="T16" s="25">
        <f>'Bal Sheet Workings'!T16</f>
        <v>0</v>
      </c>
      <c r="U16" s="25">
        <f>'Bal Sheet Workings'!U16</f>
        <v>0</v>
      </c>
      <c r="V16" s="25">
        <f>'Bal Sheet Workings'!V16</f>
        <v>0</v>
      </c>
      <c r="W16" s="25">
        <f>'Bal Sheet Workings'!W16</f>
        <v>0</v>
      </c>
      <c r="X16" s="25">
        <f>'Bal Sheet Workings'!X16</f>
        <v>0</v>
      </c>
      <c r="Y16" s="25">
        <f>'Bal Sheet Workings'!Y16</f>
        <v>0</v>
      </c>
      <c r="Z16" s="25">
        <f>'Bal Sheet Workings'!Z16</f>
        <v>0</v>
      </c>
      <c r="AA16" s="25">
        <f>'Bal Sheet Workings'!AA16</f>
        <v>0</v>
      </c>
      <c r="AB16" s="25">
        <f>'Bal Sheet Workings'!AB16</f>
        <v>0</v>
      </c>
      <c r="AC16" s="25">
        <f>'Bal Sheet Workings'!AC16</f>
        <v>0</v>
      </c>
      <c r="AD16" s="25">
        <f>'Bal Sheet Workings'!AD16</f>
        <v>0</v>
      </c>
      <c r="AE16" s="25">
        <f>'Bal Sheet Workings'!AE16</f>
        <v>0</v>
      </c>
      <c r="AF16" s="25">
        <f>'Bal Sheet Workings'!AF16</f>
        <v>0</v>
      </c>
      <c r="AG16" s="25">
        <f>'Bal Sheet Workings'!AG16</f>
        <v>0</v>
      </c>
      <c r="AH16" s="25">
        <f>'Bal Sheet Workings'!AH16</f>
        <v>0</v>
      </c>
      <c r="AI16" s="25">
        <f>'Bal Sheet Workings'!AI16</f>
        <v>0</v>
      </c>
      <c r="AJ16" s="25">
        <f>'Bal Sheet Workings'!AJ16</f>
        <v>0</v>
      </c>
      <c r="AK16" s="25">
        <f>'Bal Sheet Workings'!AK16</f>
        <v>0</v>
      </c>
      <c r="AL16" s="25">
        <f>'Bal Sheet Workings'!AL16</f>
        <v>0</v>
      </c>
      <c r="AM16" s="25">
        <f>'Bal Sheet Workings'!AM16</f>
        <v>0</v>
      </c>
      <c r="AN16" s="25">
        <f>'Bal Sheet Workings'!AN16</f>
        <v>0</v>
      </c>
      <c r="AO16" s="25">
        <f>'Bal Sheet Workings'!AO16</f>
        <v>0</v>
      </c>
      <c r="AP16" s="25">
        <f>'Bal Sheet Workings'!AP16</f>
        <v>0</v>
      </c>
      <c r="AQ16" s="25">
        <f>'Bal Sheet Workings'!AQ16</f>
        <v>0</v>
      </c>
      <c r="AR16" s="25">
        <f>'Bal Sheet Workings'!AR16</f>
        <v>0</v>
      </c>
      <c r="AS16" s="25">
        <f>'Bal Sheet Workings'!AS16</f>
        <v>0</v>
      </c>
      <c r="AT16" s="25">
        <f>'Bal Sheet Workings'!AT16</f>
        <v>0</v>
      </c>
      <c r="AU16" s="25">
        <f>'Bal Sheet Workings'!AU16</f>
        <v>0</v>
      </c>
      <c r="AV16" s="25">
        <f>'Bal Sheet Workings'!AV16</f>
        <v>0</v>
      </c>
      <c r="AW16" s="25">
        <f>'Bal Sheet Workings'!AW16</f>
        <v>0</v>
      </c>
      <c r="AX16" s="25">
        <f>'Bal Sheet Workings'!AX16</f>
        <v>0</v>
      </c>
      <c r="AY16" s="25">
        <f>'Bal Sheet Workings'!AY16</f>
        <v>0</v>
      </c>
      <c r="AZ16" s="25">
        <f>'Bal Sheet Workings'!AZ16</f>
        <v>0</v>
      </c>
      <c r="BA16" s="25">
        <f>'Bal Sheet Workings'!BA16</f>
        <v>0</v>
      </c>
    </row>
    <row r="17" spans="1:53" s="13" customFormat="1" ht="12.75" customHeight="1" x14ac:dyDescent="0.25">
      <c r="B17" s="61" t="s">
        <v>206</v>
      </c>
      <c r="C17" s="33">
        <f>'Cashflow Workings'!C50</f>
        <v>0</v>
      </c>
      <c r="D17" s="33">
        <f>'Cashflow Workings'!D50</f>
        <v>0</v>
      </c>
      <c r="E17" s="33">
        <f>'Cashflow Workings'!E50</f>
        <v>1900550.0993992675</v>
      </c>
      <c r="F17" s="25">
        <f>'Bal Sheet Workings'!F17</f>
        <v>1912904.7984817449</v>
      </c>
      <c r="G17" s="25">
        <f>'Bal Sheet Workings'!G17</f>
        <v>1970397.1992693506</v>
      </c>
      <c r="H17" s="25">
        <f>'Bal Sheet Workings'!H17</f>
        <v>1855107.3155569562</v>
      </c>
      <c r="I17" s="25">
        <f>'Bal Sheet Workings'!I17</f>
        <v>1829484.562219562</v>
      </c>
      <c r="J17" s="25">
        <f>'Bal Sheet Workings'!J17</f>
        <v>2112280.3401321676</v>
      </c>
      <c r="K17" s="25">
        <f>'Bal Sheet Workings'!K17</f>
        <v>2142267.0601697732</v>
      </c>
      <c r="L17" s="25">
        <f>'Bal Sheet Workings'!L17</f>
        <v>1777094.9102073787</v>
      </c>
      <c r="M17" s="25">
        <f>'Bal Sheet Workings'!M17</f>
        <v>1779575.9494949842</v>
      </c>
      <c r="N17" s="25">
        <f>'Bal Sheet Workings'!N17</f>
        <v>1875156.5886325897</v>
      </c>
      <c r="O17" s="25">
        <f>'Bal Sheet Workings'!O17</f>
        <v>1247409.4483201953</v>
      </c>
      <c r="P17" s="25">
        <f>'Bal Sheet Workings'!P17</f>
        <v>1194879.1261078008</v>
      </c>
      <c r="Q17" s="25">
        <f>'Bal Sheet Workings'!Q17</f>
        <v>1252371.5268954064</v>
      </c>
      <c r="R17" s="25">
        <f>'Bal Sheet Workings'!R17</f>
        <v>1090146.0354330121</v>
      </c>
      <c r="S17" s="25">
        <f>'Bal Sheet Workings'!S17</f>
        <v>1254569.8517206179</v>
      </c>
      <c r="T17" s="25">
        <f>'Bal Sheet Workings'!T17</f>
        <v>1517953.5192582237</v>
      </c>
      <c r="U17" s="25">
        <f>'Bal Sheet Workings'!U17</f>
        <v>1532472.1532958292</v>
      </c>
      <c r="V17" s="25">
        <f>'Bal Sheet Workings'!V17</f>
        <v>1956020.8698334349</v>
      </c>
      <c r="W17" s="25">
        <f>'Bal Sheet Workings'!W17</f>
        <v>2089489.6048710407</v>
      </c>
      <c r="X17" s="25">
        <f>'Bal Sheet Workings'!X17</f>
        <v>1809869.0863226359</v>
      </c>
      <c r="Y17" s="25">
        <f>'Bal Sheet Workings'!Y17</f>
        <v>1912382.7401102413</v>
      </c>
      <c r="Z17" s="25">
        <f>'Bal Sheet Workings'!Z17</f>
        <v>1928532.6812632317</v>
      </c>
      <c r="AA17" s="25">
        <f>'Bal Sheet Workings'!AA17</f>
        <v>1325135.4939648267</v>
      </c>
      <c r="AB17" s="25">
        <f>'Bal Sheet Workings'!AB17</f>
        <v>1396694.0665024321</v>
      </c>
      <c r="AC17" s="25">
        <f>'Bal Sheet Workings'!AC17</f>
        <v>1561117.8827900379</v>
      </c>
      <c r="AD17" s="25">
        <f>'Bal Sheet Workings'!AD17</f>
        <v>1637757.9908706937</v>
      </c>
      <c r="AE17" s="25">
        <f>'Bal Sheet Workings'!AE17</f>
        <v>2053609.7455373607</v>
      </c>
      <c r="AF17" s="25">
        <f>'Bal Sheet Workings'!AF17</f>
        <v>2535741.1822040277</v>
      </c>
      <c r="AG17" s="25">
        <f>'Bal Sheet Workings'!AG17</f>
        <v>2752635.6072846837</v>
      </c>
      <c r="AH17" s="25">
        <f>'Bal Sheet Workings'!AH17</f>
        <v>3398473.7192013506</v>
      </c>
      <c r="AI17" s="25">
        <f>'Bal Sheet Workings'!AI17</f>
        <v>3743137.0296180174</v>
      </c>
      <c r="AJ17" s="25">
        <f>'Bal Sheet Workings'!AJ17</f>
        <v>3720159.830426415</v>
      </c>
      <c r="AK17" s="25">
        <f>'Bal Sheet Workings'!AK17</f>
        <v>4030578.206468082</v>
      </c>
      <c r="AL17" s="25">
        <f>'Bal Sheet Workings'!AL17</f>
        <v>4446429.9611347485</v>
      </c>
      <c r="AM17" s="25">
        <f>'Bal Sheet Workings'!AM17</f>
        <v>4093580.318193146</v>
      </c>
      <c r="AN17" s="25">
        <f>'Bal Sheet Workings'!AN17</f>
        <v>4335508.8254848123</v>
      </c>
      <c r="AO17" s="25">
        <f>'Bal Sheet Workings'!AO17</f>
        <v>4714417.0702764792</v>
      </c>
      <c r="AP17" s="25">
        <f>'Bal Sheet Workings'!AP17</f>
        <v>4943896.9324598759</v>
      </c>
      <c r="AQ17" s="25">
        <f>'Bal Sheet Workings'!AQ17</f>
        <v>5430777.4371265434</v>
      </c>
      <c r="AR17" s="25">
        <f>'Bal Sheet Workings'!AR17</f>
        <v>5981646.3737932108</v>
      </c>
      <c r="AS17" s="25">
        <f>'Bal Sheet Workings'!AS17</f>
        <v>6323271.5683516087</v>
      </c>
      <c r="AT17" s="25">
        <f>'Bal Sheet Workings'!AT17</f>
        <v>7040138.4302682756</v>
      </c>
      <c r="AU17" s="25">
        <f>'Bal Sheet Workings'!AU17</f>
        <v>7461092.4344349429</v>
      </c>
      <c r="AV17" s="25">
        <f>'Bal Sheet Workings'!AV17</f>
        <v>7568171.2768221181</v>
      </c>
      <c r="AW17" s="25">
        <f>'Bal Sheet Workings'!AW17</f>
        <v>7945035.9028637847</v>
      </c>
      <c r="AX17" s="25">
        <f>'Bal Sheet Workings'!AX17</f>
        <v>8431916.4075304512</v>
      </c>
      <c r="AY17" s="25">
        <f>'Bal Sheet Workings'!AY17</f>
        <v>8174126.5911676269</v>
      </c>
      <c r="AZ17" s="25">
        <f>'Bal Sheet Workings'!AZ17</f>
        <v>8477918.8484592941</v>
      </c>
      <c r="BA17" s="25">
        <f>'Bal Sheet Workings'!BA17</f>
        <v>8927855.8432509601</v>
      </c>
    </row>
    <row r="18" spans="1:53" ht="12.75" customHeight="1" x14ac:dyDescent="0.25">
      <c r="B18" s="63"/>
      <c r="C18" s="72">
        <f t="shared" ref="C18:AH18" si="3">SUM(C15:C17)</f>
        <v>0</v>
      </c>
      <c r="D18" s="72">
        <f t="shared" si="3"/>
        <v>0</v>
      </c>
      <c r="E18" s="72" t="e">
        <f t="shared" si="3"/>
        <v>#REF!</v>
      </c>
      <c r="F18" s="28">
        <f t="shared" si="3"/>
        <v>2212904.7984817447</v>
      </c>
      <c r="G18" s="28">
        <f t="shared" si="3"/>
        <v>2270397.1992693506</v>
      </c>
      <c r="H18" s="28">
        <f t="shared" si="3"/>
        <v>2155107.3155569565</v>
      </c>
      <c r="I18" s="28">
        <f t="shared" si="3"/>
        <v>2129484.562219562</v>
      </c>
      <c r="J18" s="28">
        <f t="shared" si="3"/>
        <v>2412280.3401321676</v>
      </c>
      <c r="K18" s="28">
        <f t="shared" si="3"/>
        <v>2442267.0601697732</v>
      </c>
      <c r="L18" s="28">
        <f t="shared" si="3"/>
        <v>2077094.9102073787</v>
      </c>
      <c r="M18" s="28">
        <f t="shared" si="3"/>
        <v>2079575.9494949842</v>
      </c>
      <c r="N18" s="28">
        <f t="shared" si="3"/>
        <v>2175156.5886325897</v>
      </c>
      <c r="O18" s="28">
        <f t="shared" si="3"/>
        <v>1547409.4483201953</v>
      </c>
      <c r="P18" s="28">
        <f t="shared" si="3"/>
        <v>1494879.1261078008</v>
      </c>
      <c r="Q18" s="28">
        <f t="shared" si="3"/>
        <v>1552371.5268954064</v>
      </c>
      <c r="R18" s="72">
        <f t="shared" si="3"/>
        <v>1390146.0354330121</v>
      </c>
      <c r="S18" s="72">
        <f t="shared" si="3"/>
        <v>1554569.8517206179</v>
      </c>
      <c r="T18" s="72">
        <f t="shared" si="3"/>
        <v>1817953.5192582237</v>
      </c>
      <c r="U18" s="72">
        <f t="shared" si="3"/>
        <v>1832472.1532958292</v>
      </c>
      <c r="V18" s="72">
        <f t="shared" si="3"/>
        <v>2256020.8698334349</v>
      </c>
      <c r="W18" s="72">
        <f t="shared" si="3"/>
        <v>2389489.6048710407</v>
      </c>
      <c r="X18" s="72">
        <f t="shared" si="3"/>
        <v>2109869.0863226359</v>
      </c>
      <c r="Y18" s="72">
        <f t="shared" si="3"/>
        <v>2212382.7401102413</v>
      </c>
      <c r="Z18" s="72">
        <f t="shared" si="3"/>
        <v>2228532.6812632317</v>
      </c>
      <c r="AA18" s="72">
        <f t="shared" si="3"/>
        <v>1625135.4939648267</v>
      </c>
      <c r="AB18" s="72">
        <f t="shared" si="3"/>
        <v>1696694.0665024321</v>
      </c>
      <c r="AC18" s="72">
        <f t="shared" si="3"/>
        <v>1861117.8827900379</v>
      </c>
      <c r="AD18" s="72">
        <f t="shared" si="3"/>
        <v>1937757.9908706937</v>
      </c>
      <c r="AE18" s="72">
        <f t="shared" si="3"/>
        <v>2353609.7455373607</v>
      </c>
      <c r="AF18" s="72">
        <f t="shared" si="3"/>
        <v>2835741.1822040277</v>
      </c>
      <c r="AG18" s="72">
        <f t="shared" si="3"/>
        <v>3052635.6072846837</v>
      </c>
      <c r="AH18" s="72">
        <f t="shared" si="3"/>
        <v>3698473.7192013506</v>
      </c>
      <c r="AI18" s="72">
        <f t="shared" ref="AI18:BA18" si="4">SUM(AI15:AI17)</f>
        <v>4043137.0296180174</v>
      </c>
      <c r="AJ18" s="72">
        <f t="shared" si="4"/>
        <v>4020159.830426415</v>
      </c>
      <c r="AK18" s="72">
        <f t="shared" si="4"/>
        <v>4330578.206468082</v>
      </c>
      <c r="AL18" s="72">
        <f t="shared" si="4"/>
        <v>4746429.9611347485</v>
      </c>
      <c r="AM18" s="72">
        <f t="shared" si="4"/>
        <v>4393580.318193146</v>
      </c>
      <c r="AN18" s="72">
        <f t="shared" si="4"/>
        <v>4635508.8254848123</v>
      </c>
      <c r="AO18" s="72">
        <f t="shared" si="4"/>
        <v>5014417.0702764792</v>
      </c>
      <c r="AP18" s="72">
        <f t="shared" si="4"/>
        <v>5243896.9324598759</v>
      </c>
      <c r="AQ18" s="72">
        <f t="shared" si="4"/>
        <v>5730777.4371265434</v>
      </c>
      <c r="AR18" s="72">
        <f t="shared" si="4"/>
        <v>6281646.3737932108</v>
      </c>
      <c r="AS18" s="72">
        <f t="shared" si="4"/>
        <v>6623271.5683516087</v>
      </c>
      <c r="AT18" s="72">
        <f t="shared" si="4"/>
        <v>7340138.4302682756</v>
      </c>
      <c r="AU18" s="72">
        <f t="shared" si="4"/>
        <v>7761092.4344349429</v>
      </c>
      <c r="AV18" s="72">
        <f t="shared" si="4"/>
        <v>7868171.2768221181</v>
      </c>
      <c r="AW18" s="72">
        <f t="shared" si="4"/>
        <v>8245035.9028637847</v>
      </c>
      <c r="AX18" s="72">
        <f t="shared" si="4"/>
        <v>8731916.4075304512</v>
      </c>
      <c r="AY18" s="72">
        <f t="shared" si="4"/>
        <v>8474126.5911676269</v>
      </c>
      <c r="AZ18" s="72">
        <f t="shared" si="4"/>
        <v>8777918.8484592941</v>
      </c>
      <c r="BA18" s="72">
        <f t="shared" si="4"/>
        <v>9227855.8432509601</v>
      </c>
    </row>
    <row r="19" spans="1:53" ht="12.75" customHeight="1" x14ac:dyDescent="0.25">
      <c r="B19" s="61"/>
      <c r="C19" s="45"/>
      <c r="D19" s="45"/>
      <c r="E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</row>
    <row r="20" spans="1:53" ht="15.75" customHeight="1" x14ac:dyDescent="0.35">
      <c r="A20" s="26" t="s">
        <v>207</v>
      </c>
      <c r="B20" s="61"/>
      <c r="C20" s="45"/>
      <c r="D20" s="45"/>
      <c r="E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</row>
    <row r="21" spans="1:53" ht="12.75" customHeight="1" x14ac:dyDescent="0.25">
      <c r="B21" s="61" t="s">
        <v>178</v>
      </c>
      <c r="C21" s="45">
        <f>-P_L!C78-'Cashflow Workings'!C40</f>
        <v>0</v>
      </c>
      <c r="D21" s="45">
        <f>C21-P_L!D78-'Cashflow Workings'!D40</f>
        <v>0</v>
      </c>
      <c r="E21" s="45">
        <f>D21-P_L!E78-'Cashflow Workings'!E40</f>
        <v>-182615.72938461541</v>
      </c>
      <c r="F21" s="25">
        <f>E21-P_L!F78-'Cashflow Workings'!F40</f>
        <v>-187687.38838461597</v>
      </c>
      <c r="G21" s="25">
        <f>F21-P_L!G78-'Cashflow Workings'!G40</f>
        <v>-177454.88400239343</v>
      </c>
      <c r="H21" s="25">
        <f>G21-P_L!H78-'Cashflow Workings'!H40</f>
        <v>-143517.7507737554</v>
      </c>
      <c r="I21" s="25">
        <f>H21-P_L!I78-'Cashflow Workings'!I40</f>
        <v>-75391.039176282109</v>
      </c>
      <c r="J21" s="25">
        <f>I21-P_L!J78-'Cashflow Workings'!J40</f>
        <v>-7077.6770926992031</v>
      </c>
      <c r="K21" s="25">
        <f>J21-P_L!K78-'Cashflow Workings'!K40</f>
        <v>-2536.2297738425059</v>
      </c>
      <c r="L21" s="25">
        <f>K21-P_L!L78-'Cashflow Workings'!L40</f>
        <v>8629.5651987821238</v>
      </c>
      <c r="M21" s="25">
        <f>L21-P_L!M78-'Cashflow Workings'!M40</f>
        <v>7114.5664508445561</v>
      </c>
      <c r="N21" s="25">
        <f>M21-P_L!N78-'Cashflow Workings'!N40</f>
        <v>28386.299953440357</v>
      </c>
      <c r="O21" s="25">
        <f>N21-P_L!O78-'Cashflow Workings'!O40</f>
        <v>-37099.392338254627</v>
      </c>
      <c r="P21" s="25">
        <f>O21-P_L!P78-'Cashflow Workings'!P40</f>
        <v>-50908.1048459257</v>
      </c>
      <c r="Q21" s="25">
        <f>P21-P_L!Q78-'Cashflow Workings'!Q40</f>
        <v>-38780.376728656862</v>
      </c>
      <c r="R21" s="45">
        <f>Q21-P_L!R78-'Cashflow Workings'!R40</f>
        <v>-13787.355243063994</v>
      </c>
      <c r="S21" s="45">
        <f>R21-P_L!S78-'Cashflow Workings'!S40</f>
        <v>26035.022296975087</v>
      </c>
      <c r="T21" s="45">
        <f>S21-P_L!T78-'Cashflow Workings'!T40</f>
        <v>91909.34556099477</v>
      </c>
      <c r="U21" s="45">
        <f>T21-P_L!U78-'Cashflow Workings'!U40</f>
        <v>198289.08624301912</v>
      </c>
      <c r="V21" s="45">
        <f>U21-P_L!V78-'Cashflow Workings'!V40</f>
        <v>304869.55510304309</v>
      </c>
      <c r="W21" s="45">
        <f>V21-P_L!W78-'Cashflow Workings'!W40</f>
        <v>338176.30100891774</v>
      </c>
      <c r="X21" s="45">
        <f>W21-P_L!X78-'Cashflow Workings'!X40</f>
        <v>414961.19814262871</v>
      </c>
      <c r="Y21" s="45">
        <f>X21-P_L!Y78-'Cashflow Workings'!Y40</f>
        <v>441359.43038703175</v>
      </c>
      <c r="Z21" s="45">
        <f>Y21-P_L!Z78-'Cashflow Workings'!Z40</f>
        <v>308747.99696827051</v>
      </c>
      <c r="AA21" s="45">
        <f>Z21-P_L!AA78-'Cashflow Workings'!AA40</f>
        <v>291040.28154577216</v>
      </c>
      <c r="AB21" s="45">
        <f>AA21-P_L!AB78-'Cashflow Workings'!AB40</f>
        <v>310743.19845649361</v>
      </c>
      <c r="AC21" s="45">
        <f>AB21-P_L!AC78-'Cashflow Workings'!AC40</f>
        <v>352603.97128163074</v>
      </c>
      <c r="AD21" s="45">
        <f>AC21-P_L!AD78-'Cashflow Workings'!AD40</f>
        <v>449184.84301475156</v>
      </c>
      <c r="AE21" s="45">
        <f>AD21-P_L!AE78-'Cashflow Workings'!AE40</f>
        <v>526728.71002439759</v>
      </c>
      <c r="AF21" s="45">
        <f>AE21-P_L!AF78-'Cashflow Workings'!AF40</f>
        <v>621783.44191721629</v>
      </c>
      <c r="AG21" s="45">
        <f>AF21-P_L!AG78-'Cashflow Workings'!AG40</f>
        <v>794008.23960914393</v>
      </c>
      <c r="AH21" s="45">
        <f>AG21-P_L!AH78-'Cashflow Workings'!AH40</f>
        <v>930275.25782828324</v>
      </c>
      <c r="AI21" s="45">
        <f>AH21-P_L!AI78-'Cashflow Workings'!AI40</f>
        <v>990234.9210937703</v>
      </c>
      <c r="AJ21" s="45">
        <f>AI21-P_L!AJ78-'Cashflow Workings'!AJ40</f>
        <v>1183872.2978215632</v>
      </c>
      <c r="AK21" s="45">
        <f>AJ21-P_L!AK78-'Cashflow Workings'!AK40</f>
        <v>1235677.9019166077</v>
      </c>
      <c r="AL21" s="45">
        <f>AK21-P_L!AL78-'Cashflow Workings'!AL40</f>
        <v>1313229.0603684015</v>
      </c>
      <c r="AM21" s="45">
        <f>AL21-P_L!AM78-'Cashflow Workings'!AM40</f>
        <v>1408996.3329460626</v>
      </c>
      <c r="AN21" s="45">
        <f>AM21-P_L!AN78-'Cashflow Workings'!AN40</f>
        <v>1444492.6783934776</v>
      </c>
      <c r="AO21" s="45">
        <f>AN21-P_L!AO78-'Cashflow Workings'!AO40</f>
        <v>1512614.3230251025</v>
      </c>
      <c r="AP21" s="45">
        <f>AO21-P_L!AP78-'Cashflow Workings'!AP40</f>
        <v>1724558.003421264</v>
      </c>
      <c r="AQ21" s="45">
        <f>AP21-P_L!AQ78-'Cashflow Workings'!AQ40</f>
        <v>1820248.8691235378</v>
      </c>
      <c r="AR21" s="45">
        <f>AQ21-P_L!AR78-'Cashflow Workings'!AR40</f>
        <v>1932865.3997307739</v>
      </c>
      <c r="AS21" s="45">
        <f>AR21-P_L!AS78-'Cashflow Workings'!AS40</f>
        <v>2212798.5615946199</v>
      </c>
      <c r="AT21" s="45">
        <f>AS21-P_L!AT78-'Cashflow Workings'!AT40</f>
        <v>2367211.9885151167</v>
      </c>
      <c r="AU21" s="45">
        <f>AT21-P_L!AU78-'Cashflow Workings'!AU40</f>
        <v>2446661.3453369387</v>
      </c>
      <c r="AV21" s="45">
        <f>AU21-P_L!AV78-'Cashflow Workings'!AV40</f>
        <v>2744179.7795989048</v>
      </c>
      <c r="AW21" s="45">
        <f>AV21-P_L!AW78-'Cashflow Workings'!AW40</f>
        <v>2812961.231414672</v>
      </c>
      <c r="AX21" s="45">
        <f>AW21-P_L!AX78-'Cashflow Workings'!AX40</f>
        <v>2908658.0567918429</v>
      </c>
      <c r="AY21" s="45">
        <f>AX21-P_L!AY78-'Cashflow Workings'!AY40</f>
        <v>3099293.0869665686</v>
      </c>
      <c r="AZ21" s="45">
        <f>AY21-P_L!AZ78-'Cashflow Workings'!AZ40</f>
        <v>3150594.7467382164</v>
      </c>
      <c r="BA21" s="45">
        <f>AZ21-P_L!BA78-'Cashflow Workings'!BA40</f>
        <v>3236861.5337886703</v>
      </c>
    </row>
    <row r="22" spans="1:53" ht="12.75" customHeight="1" x14ac:dyDescent="0.25">
      <c r="B22" s="61" t="s">
        <v>208</v>
      </c>
      <c r="C22" s="62">
        <f>'Cashflow Workings'!C55-'Cashflow Workings'!C42</f>
        <v>0</v>
      </c>
      <c r="D22" s="45">
        <f>C22+'Cashflow Workings'!D55-'Cashflow Workings'!D42</f>
        <v>0</v>
      </c>
      <c r="E22" s="45">
        <f>D22+'Cashflow Workings'!E55-'Cashflow Workings'!E42</f>
        <v>-82373.659794871812</v>
      </c>
      <c r="F22" s="25">
        <f>E22+'Cashflow Workings'!F55-'Cashflow Workings'!F42</f>
        <v>55927.217583333288</v>
      </c>
      <c r="G22" s="25">
        <f>F22+'Cashflow Workings'!G55-'Cashflow Workings'!G42</f>
        <v>176462.93666666659</v>
      </c>
      <c r="H22" s="25">
        <f>G22+'Cashflow Workings'!H55-'Cashflow Workings'!H42</f>
        <v>308418.53124999994</v>
      </c>
      <c r="I22" s="25">
        <f>H22+'Cashflow Workings'!I55-'Cashflow Workings'!I42</f>
        <v>154091.54120833328</v>
      </c>
      <c r="J22" s="25">
        <f>I22+'Cashflow Workings'!J55-'Cashflow Workings'!J42</f>
        <v>308183.08241666656</v>
      </c>
      <c r="K22" s="25">
        <f>J22+'Cashflow Workings'!K55-'Cashflow Workings'!K42</f>
        <v>422664.55074999988</v>
      </c>
      <c r="L22" s="25">
        <f>K22+'Cashflow Workings'!L55-'Cashflow Workings'!L42</f>
        <v>120535.71908333327</v>
      </c>
      <c r="M22" s="25">
        <f>L22+'Cashflow Workings'!M55-'Cashflow Workings'!M42</f>
        <v>228962.93666666656</v>
      </c>
      <c r="N22" s="25">
        <f>M22+'Cashflow Workings'!N55-'Cashflow Workings'!N42</f>
        <v>355171.37209999986</v>
      </c>
      <c r="O22" s="25">
        <f>N22+'Cashflow Workings'!O55-'Cashflow Workings'!O42</f>
        <v>47884.710083333252</v>
      </c>
      <c r="P22" s="25">
        <f>O22+'Cashflow Workings'!P55-'Cashflow Workings'!P42</f>
        <v>144203.42616666656</v>
      </c>
      <c r="Q22" s="25">
        <f>P22+'Cashflow Workings'!Q55-'Cashflow Workings'!Q42</f>
        <v>264739.14524999983</v>
      </c>
      <c r="R22" s="45">
        <f>Q22+'Cashflow Workings'!R55-'Cashflow Workings'!R42</f>
        <v>123325.69208333321</v>
      </c>
      <c r="S22" s="45">
        <f>R22+'Cashflow Workings'!S55-'Cashflow Workings'!S42</f>
        <v>259787.36666666655</v>
      </c>
      <c r="T22" s="45">
        <f>S22+'Cashflow Workings'!T55-'Cashflow Workings'!T42</f>
        <v>409030.0824999999</v>
      </c>
      <c r="U22" s="45">
        <f>T22+'Cashflow Workings'!U55-'Cashflow Workings'!U42</f>
        <v>175054.74483333318</v>
      </c>
      <c r="V22" s="45">
        <f>U22+'Cashflow Workings'!V55-'Cashflow Workings'!V42</f>
        <v>350109.48966666649</v>
      </c>
      <c r="W22" s="45">
        <f>V22+'Cashflow Workings'!W55-'Cashflow Workings'!W42</f>
        <v>480003.17299999978</v>
      </c>
      <c r="X22" s="45">
        <f>W22+'Cashflow Workings'!X55-'Cashflow Workings'!X42</f>
        <v>136461.6745833332</v>
      </c>
      <c r="Y22" s="45">
        <f>X22+'Cashflow Workings'!Y55-'Cashflow Workings'!Y42</f>
        <v>259787.36666666652</v>
      </c>
      <c r="Z22" s="45">
        <f>Y22+'Cashflow Workings'!Z55-'Cashflow Workings'!Z42</f>
        <v>401363.78549999988</v>
      </c>
      <c r="AA22" s="45">
        <f>Z22+'Cashflow Workings'!AA55-'Cashflow Workings'!AA42</f>
        <v>51077.788333333214</v>
      </c>
      <c r="AB22" s="45">
        <f>AA22+'Cashflow Workings'!AB55-'Cashflow Workings'!AB42</f>
        <v>167835.48916666649</v>
      </c>
      <c r="AC22" s="45">
        <f>AB22+'Cashflow Workings'!AC55-'Cashflow Workings'!AC42</f>
        <v>304297.16374999983</v>
      </c>
      <c r="AD22" s="45">
        <f>AC22+'Cashflow Workings'!AD55-'Cashflow Workings'!AD42</f>
        <v>142682.30033333314</v>
      </c>
      <c r="AE22" s="45">
        <f>AD22+'Cashflow Workings'!AE55-'Cashflow Workings'!AE42</f>
        <v>299835.52166666649</v>
      </c>
      <c r="AF22" s="45">
        <f>AE22+'Cashflow Workings'!AF55-'Cashflow Workings'!AF42</f>
        <v>464902.52499999979</v>
      </c>
      <c r="AG22" s="45">
        <f>AF22+'Cashflow Workings'!AG55-'Cashflow Workings'!AG42</f>
        <v>191406.50858333323</v>
      </c>
      <c r="AH22" s="45">
        <f>AG22+'Cashflow Workings'!AH55-'Cashflow Workings'!AH42</f>
        <v>382813.01716666657</v>
      </c>
      <c r="AI22" s="45">
        <f>AH22+'Cashflow Workings'!AI55-'Cashflow Workings'!AI42</f>
        <v>527406.0442499998</v>
      </c>
      <c r="AJ22" s="45">
        <f>AI22+'Cashflow Workings'!AJ55-'Cashflow Workings'!AJ42</f>
        <v>151650.99645833322</v>
      </c>
      <c r="AK22" s="45">
        <f>AJ22+'Cashflow Workings'!AK55-'Cashflow Workings'!AK42</f>
        <v>289186.05416666652</v>
      </c>
      <c r="AL22" s="45">
        <f>AK22+'Cashflow Workings'!AL55-'Cashflow Workings'!AL42</f>
        <v>446339.27549999987</v>
      </c>
      <c r="AM22" s="45">
        <f>AL22+'Cashflow Workings'!AM55-'Cashflow Workings'!AM42</f>
        <v>66955.363958333211</v>
      </c>
      <c r="AN22" s="45">
        <f>AM22+'Cashflow Workings'!AN55-'Cashflow Workings'!AN42</f>
        <v>190374.48291666651</v>
      </c>
      <c r="AO22" s="45">
        <f>AN22+'Cashflow Workings'!AO55-'Cashflow Workings'!AO42</f>
        <v>342025.47937499988</v>
      </c>
      <c r="AP22" s="45">
        <f>AO22+'Cashflow Workings'!AP55-'Cashflow Workings'!AP42</f>
        <v>157725.79295833316</v>
      </c>
      <c r="AQ22" s="45">
        <f>AP22+'Cashflow Workings'!AQ55-'Cashflow Workings'!AQ42</f>
        <v>325457.76429166645</v>
      </c>
      <c r="AR22" s="45">
        <f>AQ22+'Cashflow Workings'!AR55-'Cashflow Workings'!AR42</f>
        <v>500762.26762499975</v>
      </c>
      <c r="AS22" s="45">
        <f>AR22+'Cashflow Workings'!AS55-'Cashflow Workings'!AS42</f>
        <v>201985.25858333323</v>
      </c>
      <c r="AT22" s="45">
        <f>AS22+'Cashflow Workings'!AT55-'Cashflow Workings'!AT42</f>
        <v>403970.51716666657</v>
      </c>
      <c r="AU22" s="45">
        <f>AT22+'Cashflow Workings'!AU55-'Cashflow Workings'!AU42</f>
        <v>559925.9879999999</v>
      </c>
      <c r="AV22" s="45">
        <f>AU22+'Cashflow Workings'!AV55-'Cashflow Workings'!AV42</f>
        <v>163392.18833333335</v>
      </c>
      <c r="AW22" s="45">
        <f>AV22+'Cashflow Workings'!AW55-'Cashflow Workings'!AW42</f>
        <v>310823.49604166666</v>
      </c>
      <c r="AX22" s="45">
        <f>AW22+'Cashflow Workings'!AX55-'Cashflow Workings'!AX42</f>
        <v>478555.46737500001</v>
      </c>
      <c r="AY22" s="45">
        <f>AX22+'Cashflow Workings'!AY55-'Cashflow Workings'!AY42</f>
        <v>73439.113958333386</v>
      </c>
      <c r="AZ22" s="45">
        <f>AY22+'Cashflow Workings'!AZ55-'Cashflow Workings'!AZ42</f>
        <v>206071.98291666672</v>
      </c>
      <c r="BA22" s="45">
        <f>AZ22+'Cashflow Workings'!BA55-'Cashflow Workings'!BA42</f>
        <v>368301.72937500011</v>
      </c>
    </row>
    <row r="23" spans="1:53" ht="12.75" customHeight="1" x14ac:dyDescent="0.25">
      <c r="B23" s="61" t="s">
        <v>209</v>
      </c>
      <c r="C23" s="45">
        <f>'Cashflow Workings'!C16-'Cashflow Workings'!C41</f>
        <v>0</v>
      </c>
      <c r="D23" s="45">
        <f>C23+'Cashflow Workings'!D16-'Cashflow Workings'!D41</f>
        <v>0</v>
      </c>
      <c r="E23" s="45" t="e">
        <f>D23+'Cashflow Workings'!#REF!-'Cashflow Workings'!E41</f>
        <v>#REF!</v>
      </c>
      <c r="F23" s="25">
        <f>'Bal Sheet Workings'!F23</f>
        <v>2710626.0183709408</v>
      </c>
      <c r="G23" s="25">
        <f>'Bal Sheet Workings'!G23</f>
        <v>2613146.5743566933</v>
      </c>
      <c r="H23" s="25">
        <f>'Bal Sheet Workings'!H23</f>
        <v>2252455.0038173571</v>
      </c>
      <c r="I23" s="25">
        <f>'Bal Sheet Workings'!I23</f>
        <v>2153753.2589621502</v>
      </c>
      <c r="J23" s="25">
        <f>'Bal Sheet Workings'!J23</f>
        <v>2054434.6282015988</v>
      </c>
      <c r="K23" s="25">
        <f>'Bal Sheet Workings'!K23</f>
        <v>1954495.255998794</v>
      </c>
      <c r="L23" s="25">
        <f>'Bal Sheet Workings'!L23</f>
        <v>1853931.2627197218</v>
      </c>
      <c r="M23" s="25">
        <f>'Bal Sheet Workings'!M23</f>
        <v>1752738.7444826555</v>
      </c>
      <c r="N23" s="25">
        <f>'Bal Sheet Workings'!N23</f>
        <v>1650913.773006608</v>
      </c>
      <c r="O23" s="25">
        <f>'Bal Sheet Workings'!O23</f>
        <v>1548452.3954588354</v>
      </c>
      <c r="P23" s="25">
        <f>'Bal Sheet Workings'!P23</f>
        <v>1445350.6343013893</v>
      </c>
      <c r="Q23" s="25">
        <f>'Bal Sheet Workings'!Q23</f>
        <v>1341604.4871367095</v>
      </c>
      <c r="R23" s="45">
        <f>Q23+'Cashflow Workings'!R16-'Cashflow Workings'!R41</f>
        <v>1229105.5055076482</v>
      </c>
      <c r="S23" s="45">
        <f>R23+'Cashflow Workings'!S16-'Cashflow Workings'!S41</f>
        <v>1116606.5238785869</v>
      </c>
      <c r="T23" s="45">
        <f>S23+'Cashflow Workings'!T16-'Cashflow Workings'!T41</f>
        <v>1004107.5422495257</v>
      </c>
      <c r="U23" s="45">
        <f>T23+'Cashflow Workings'!U16-'Cashflow Workings'!U41</f>
        <v>891608.56062046438</v>
      </c>
      <c r="V23" s="45">
        <f>U23+'Cashflow Workings'!V16-'Cashflow Workings'!V41</f>
        <v>779109.5789914031</v>
      </c>
      <c r="W23" s="45">
        <f>V23+'Cashflow Workings'!W16-'Cashflow Workings'!W41</f>
        <v>666610.59736234182</v>
      </c>
      <c r="X23" s="45">
        <f>W23+'Cashflow Workings'!X16-'Cashflow Workings'!X41</f>
        <v>554111.61573328055</v>
      </c>
      <c r="Y23" s="45">
        <f>X23+'Cashflow Workings'!Y16-'Cashflow Workings'!Y41</f>
        <v>441612.63410421921</v>
      </c>
      <c r="Z23" s="45">
        <f>Y23+'Cashflow Workings'!Z16-'Cashflow Workings'!Z41</f>
        <v>329113.65247515787</v>
      </c>
      <c r="AA23" s="45">
        <f>Z23+'Cashflow Workings'!AA16-'Cashflow Workings'!AA41</f>
        <v>216614.67084609653</v>
      </c>
      <c r="AB23" s="45">
        <f>AA23+'Cashflow Workings'!AB16-'Cashflow Workings'!AB41</f>
        <v>104115.68921703519</v>
      </c>
      <c r="AC23" s="45">
        <f>AB23+'Cashflow Workings'!AC16-'Cashflow Workings'!AC41</f>
        <v>-8383.292412026145</v>
      </c>
      <c r="AD23" s="45">
        <f>AC23+'Cashflow Workings'!AD16-'Cashflow Workings'!AD41</f>
        <v>-8383.292412026145</v>
      </c>
      <c r="AE23" s="45">
        <f>AD23+'Cashflow Workings'!AE16-'Cashflow Workings'!AE41</f>
        <v>-8383.292412026145</v>
      </c>
      <c r="AF23" s="45">
        <f>AE23+'Cashflow Workings'!AF16-'Cashflow Workings'!AF41</f>
        <v>-8383.292412026145</v>
      </c>
      <c r="AG23" s="45">
        <f>AF23+'Cashflow Workings'!AG16-'Cashflow Workings'!AG41</f>
        <v>-8383.292412026145</v>
      </c>
      <c r="AH23" s="45">
        <f>AG23+'Cashflow Workings'!AH16-'Cashflow Workings'!AH41</f>
        <v>-8383.292412026145</v>
      </c>
      <c r="AI23" s="45">
        <f>AH23+'Cashflow Workings'!AI16-'Cashflow Workings'!AI41</f>
        <v>-8383.292412026145</v>
      </c>
      <c r="AJ23" s="45">
        <f>AI23+'Cashflow Workings'!AJ16-'Cashflow Workings'!AJ41</f>
        <v>-8383.292412026145</v>
      </c>
      <c r="AK23" s="45">
        <f>AJ23+'Cashflow Workings'!AK16-'Cashflow Workings'!AK41</f>
        <v>-8383.292412026145</v>
      </c>
      <c r="AL23" s="45">
        <f>AK23+'Cashflow Workings'!AL16-'Cashflow Workings'!AL41</f>
        <v>-8383.292412026145</v>
      </c>
      <c r="AM23" s="45">
        <f>AL23+'Cashflow Workings'!AM16-'Cashflow Workings'!AM41</f>
        <v>-8383.292412026145</v>
      </c>
      <c r="AN23" s="45">
        <f>AM23+'Cashflow Workings'!AN16-'Cashflow Workings'!AN41</f>
        <v>-8383.292412026145</v>
      </c>
      <c r="AO23" s="45">
        <f>AN23+'Cashflow Workings'!AO16-'Cashflow Workings'!AO41</f>
        <v>-8383.292412026145</v>
      </c>
      <c r="AP23" s="45">
        <f>AO23+'Cashflow Workings'!AP16-'Cashflow Workings'!AP41</f>
        <v>-8383.292412026145</v>
      </c>
      <c r="AQ23" s="45">
        <f>AP23+'Cashflow Workings'!AQ16-'Cashflow Workings'!AQ41</f>
        <v>-8383.292412026145</v>
      </c>
      <c r="AR23" s="45">
        <f>AQ23+'Cashflow Workings'!AR16-'Cashflow Workings'!AR41</f>
        <v>-8383.292412026145</v>
      </c>
      <c r="AS23" s="45">
        <f>AR23+'Cashflow Workings'!AS16-'Cashflow Workings'!AS41</f>
        <v>-8383.292412026145</v>
      </c>
      <c r="AT23" s="45">
        <f>AS23+'Cashflow Workings'!AT16-'Cashflow Workings'!AT41</f>
        <v>-8383.292412026145</v>
      </c>
      <c r="AU23" s="45">
        <f>AT23+'Cashflow Workings'!AU16-'Cashflow Workings'!AU41</f>
        <v>-8383.292412026145</v>
      </c>
      <c r="AV23" s="45">
        <f>AU23+'Cashflow Workings'!AV16-'Cashflow Workings'!AV41</f>
        <v>-8383.292412026145</v>
      </c>
      <c r="AW23" s="45">
        <f>AV23+'Cashflow Workings'!AW16-'Cashflow Workings'!AW41</f>
        <v>-8383.292412026145</v>
      </c>
      <c r="AX23" s="45">
        <f>AW23+'Cashflow Workings'!AX16-'Cashflow Workings'!AX41</f>
        <v>-8383.292412026145</v>
      </c>
      <c r="AY23" s="45">
        <f>AX23+'Cashflow Workings'!AY16-'Cashflow Workings'!AY41</f>
        <v>-8383.292412026145</v>
      </c>
      <c r="AZ23" s="45">
        <f>AY23+'Cashflow Workings'!AZ16-'Cashflow Workings'!AZ41</f>
        <v>-8383.292412026145</v>
      </c>
      <c r="BA23" s="45">
        <f>AZ23+'Cashflow Workings'!BA16-'Cashflow Workings'!BA41</f>
        <v>-8383.292412026145</v>
      </c>
    </row>
    <row r="24" spans="1:53" ht="12.75" customHeight="1" x14ac:dyDescent="0.25">
      <c r="B24" s="61"/>
      <c r="C24" s="72">
        <f t="shared" ref="C24:AH24" si="5">SUM(C21:C23)</f>
        <v>0</v>
      </c>
      <c r="D24" s="72">
        <f t="shared" si="5"/>
        <v>0</v>
      </c>
      <c r="E24" s="72" t="e">
        <f t="shared" si="5"/>
        <v>#REF!</v>
      </c>
      <c r="F24" s="28">
        <f t="shared" si="5"/>
        <v>2578865.847569658</v>
      </c>
      <c r="G24" s="28">
        <f t="shared" si="5"/>
        <v>2612154.6270209663</v>
      </c>
      <c r="H24" s="28">
        <f t="shared" si="5"/>
        <v>2417355.7842936018</v>
      </c>
      <c r="I24" s="28">
        <f t="shared" si="5"/>
        <v>2232453.7609942015</v>
      </c>
      <c r="J24" s="28">
        <f t="shared" si="5"/>
        <v>2355540.0335255661</v>
      </c>
      <c r="K24" s="28">
        <f t="shared" si="5"/>
        <v>2374623.5769749512</v>
      </c>
      <c r="L24" s="28">
        <f t="shared" si="5"/>
        <v>1983096.5470018371</v>
      </c>
      <c r="M24" s="28">
        <f t="shared" si="5"/>
        <v>1988816.2476001666</v>
      </c>
      <c r="N24" s="28">
        <f t="shared" si="5"/>
        <v>2034471.4450600483</v>
      </c>
      <c r="O24" s="28">
        <f t="shared" si="5"/>
        <v>1559237.713203914</v>
      </c>
      <c r="P24" s="28">
        <f t="shared" si="5"/>
        <v>1538645.9556221301</v>
      </c>
      <c r="Q24" s="28">
        <f t="shared" si="5"/>
        <v>1567563.2556580524</v>
      </c>
      <c r="R24" s="72">
        <f t="shared" si="5"/>
        <v>1338643.8423479174</v>
      </c>
      <c r="S24" s="72">
        <f t="shared" si="5"/>
        <v>1402428.9128422285</v>
      </c>
      <c r="T24" s="72">
        <f t="shared" si="5"/>
        <v>1505046.9703105204</v>
      </c>
      <c r="U24" s="72">
        <f t="shared" si="5"/>
        <v>1264952.3916968168</v>
      </c>
      <c r="V24" s="72">
        <f t="shared" si="5"/>
        <v>1434088.6237611128</v>
      </c>
      <c r="W24" s="72">
        <f t="shared" si="5"/>
        <v>1484790.0713712594</v>
      </c>
      <c r="X24" s="72">
        <f t="shared" si="5"/>
        <v>1105534.4884592425</v>
      </c>
      <c r="Y24" s="72">
        <f t="shared" si="5"/>
        <v>1142759.4311579175</v>
      </c>
      <c r="Z24" s="72">
        <f t="shared" si="5"/>
        <v>1039225.4349434283</v>
      </c>
      <c r="AA24" s="72">
        <f t="shared" si="5"/>
        <v>558732.7407252019</v>
      </c>
      <c r="AB24" s="72">
        <f t="shared" si="5"/>
        <v>582694.37684019527</v>
      </c>
      <c r="AC24" s="72">
        <f t="shared" si="5"/>
        <v>648517.84261960443</v>
      </c>
      <c r="AD24" s="72">
        <f t="shared" si="5"/>
        <v>583483.85093605868</v>
      </c>
      <c r="AE24" s="72">
        <f t="shared" si="5"/>
        <v>818180.93927903799</v>
      </c>
      <c r="AF24" s="72">
        <f t="shared" si="5"/>
        <v>1078302.67450519</v>
      </c>
      <c r="AG24" s="72">
        <f t="shared" si="5"/>
        <v>977031.45578045095</v>
      </c>
      <c r="AH24" s="72">
        <f t="shared" si="5"/>
        <v>1304704.9825829237</v>
      </c>
      <c r="AI24" s="72">
        <f t="shared" ref="AI24:BA24" si="6">SUM(AI21:AI23)</f>
        <v>1509257.672931744</v>
      </c>
      <c r="AJ24" s="72">
        <f t="shared" si="6"/>
        <v>1327140.0018678703</v>
      </c>
      <c r="AK24" s="72">
        <f t="shared" si="6"/>
        <v>1516480.6636712481</v>
      </c>
      <c r="AL24" s="72">
        <f t="shared" si="6"/>
        <v>1751185.0434563754</v>
      </c>
      <c r="AM24" s="72">
        <f t="shared" si="6"/>
        <v>1467568.4044923696</v>
      </c>
      <c r="AN24" s="72">
        <f t="shared" si="6"/>
        <v>1626483.8688981179</v>
      </c>
      <c r="AO24" s="72">
        <f t="shared" si="6"/>
        <v>1846256.5099880763</v>
      </c>
      <c r="AP24" s="72">
        <f t="shared" si="6"/>
        <v>1873900.5039675711</v>
      </c>
      <c r="AQ24" s="72">
        <f t="shared" si="6"/>
        <v>2137323.3410031782</v>
      </c>
      <c r="AR24" s="72">
        <f t="shared" si="6"/>
        <v>2425244.3749437472</v>
      </c>
      <c r="AS24" s="72">
        <f t="shared" si="6"/>
        <v>2406400.5277659269</v>
      </c>
      <c r="AT24" s="72">
        <f t="shared" si="6"/>
        <v>2762799.2132697571</v>
      </c>
      <c r="AU24" s="72">
        <f t="shared" si="6"/>
        <v>2998204.0409249123</v>
      </c>
      <c r="AV24" s="72">
        <f t="shared" si="6"/>
        <v>2899188.6755202119</v>
      </c>
      <c r="AW24" s="72">
        <f t="shared" si="6"/>
        <v>3115401.4350443124</v>
      </c>
      <c r="AX24" s="72">
        <f t="shared" si="6"/>
        <v>3378830.2317548166</v>
      </c>
      <c r="AY24" s="72">
        <f t="shared" si="6"/>
        <v>3164348.9085128759</v>
      </c>
      <c r="AZ24" s="72">
        <f t="shared" si="6"/>
        <v>3348283.4372428567</v>
      </c>
      <c r="BA24" s="72">
        <f t="shared" si="6"/>
        <v>3596779.9707516441</v>
      </c>
    </row>
    <row r="25" spans="1:53" ht="12.75" customHeight="1" x14ac:dyDescent="0.25">
      <c r="B25" s="61"/>
      <c r="C25" s="45"/>
      <c r="D25" s="45"/>
      <c r="E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</row>
    <row r="26" spans="1:53" ht="12.75" customHeight="1" x14ac:dyDescent="0.25">
      <c r="B26" s="61"/>
      <c r="C26" s="45"/>
      <c r="D26" s="45"/>
      <c r="E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</row>
    <row r="27" spans="1:53" ht="12.75" customHeight="1" x14ac:dyDescent="0.35">
      <c r="A27" s="26" t="s">
        <v>210</v>
      </c>
      <c r="B27" s="61"/>
      <c r="C27" s="45">
        <f t="shared" ref="C27:AH27" si="7">C18-C24</f>
        <v>0</v>
      </c>
      <c r="D27" s="45">
        <f t="shared" si="7"/>
        <v>0</v>
      </c>
      <c r="E27" s="45" t="e">
        <f t="shared" si="7"/>
        <v>#REF!</v>
      </c>
      <c r="F27" s="25">
        <f t="shared" si="7"/>
        <v>-365961.04908791324</v>
      </c>
      <c r="G27" s="25">
        <f t="shared" si="7"/>
        <v>-341757.42775161564</v>
      </c>
      <c r="H27" s="25">
        <f t="shared" si="7"/>
        <v>-262248.4687366453</v>
      </c>
      <c r="I27" s="25">
        <f t="shared" si="7"/>
        <v>-102969.19877463952</v>
      </c>
      <c r="J27" s="25">
        <f t="shared" si="7"/>
        <v>56740.306606601458</v>
      </c>
      <c r="K27" s="25">
        <f t="shared" si="7"/>
        <v>67643.48319482198</v>
      </c>
      <c r="L27" s="25">
        <f t="shared" si="7"/>
        <v>93998.363205541624</v>
      </c>
      <c r="M27" s="25">
        <f t="shared" si="7"/>
        <v>90759.701894817641</v>
      </c>
      <c r="N27" s="25">
        <f t="shared" si="7"/>
        <v>140685.14357254142</v>
      </c>
      <c r="O27" s="25">
        <f t="shared" si="7"/>
        <v>-11828.264883718686</v>
      </c>
      <c r="P27" s="25">
        <f t="shared" si="7"/>
        <v>-43766.829514329322</v>
      </c>
      <c r="Q27" s="25">
        <f t="shared" si="7"/>
        <v>-15191.728762645973</v>
      </c>
      <c r="R27" s="45">
        <f t="shared" si="7"/>
        <v>51502.193085094681</v>
      </c>
      <c r="S27" s="45">
        <f t="shared" si="7"/>
        <v>152140.93887838931</v>
      </c>
      <c r="T27" s="45">
        <f t="shared" si="7"/>
        <v>312906.54894770333</v>
      </c>
      <c r="U27" s="45">
        <f t="shared" si="7"/>
        <v>567519.76159901242</v>
      </c>
      <c r="V27" s="45">
        <f t="shared" si="7"/>
        <v>821932.24607232213</v>
      </c>
      <c r="W27" s="45">
        <f t="shared" si="7"/>
        <v>904699.53349978128</v>
      </c>
      <c r="X27" s="45">
        <f t="shared" si="7"/>
        <v>1004334.5978633934</v>
      </c>
      <c r="Y27" s="45">
        <f t="shared" si="7"/>
        <v>1069623.3089523239</v>
      </c>
      <c r="Z27" s="45">
        <f t="shared" si="7"/>
        <v>1189307.2463198034</v>
      </c>
      <c r="AA27" s="45">
        <f t="shared" si="7"/>
        <v>1066402.7532396247</v>
      </c>
      <c r="AB27" s="45">
        <f t="shared" si="7"/>
        <v>1113999.6896622367</v>
      </c>
      <c r="AC27" s="45">
        <f t="shared" si="7"/>
        <v>1212600.0401704335</v>
      </c>
      <c r="AD27" s="45">
        <f t="shared" si="7"/>
        <v>1354274.139934635</v>
      </c>
      <c r="AE27" s="45">
        <f t="shared" si="7"/>
        <v>1535428.8062583227</v>
      </c>
      <c r="AF27" s="45">
        <f t="shared" si="7"/>
        <v>1757438.5076988377</v>
      </c>
      <c r="AG27" s="45">
        <f t="shared" si="7"/>
        <v>2075604.1515042328</v>
      </c>
      <c r="AH27" s="45">
        <f t="shared" si="7"/>
        <v>2393768.7366184266</v>
      </c>
      <c r="AI27" s="45">
        <f t="shared" ref="AI27:BA27" si="8">AI18-AI24</f>
        <v>2533879.3566862736</v>
      </c>
      <c r="AJ27" s="45">
        <f t="shared" si="8"/>
        <v>2693019.8285585446</v>
      </c>
      <c r="AK27" s="45">
        <f t="shared" si="8"/>
        <v>2814097.5427968339</v>
      </c>
      <c r="AL27" s="45">
        <f t="shared" si="8"/>
        <v>2995244.9176783729</v>
      </c>
      <c r="AM27" s="45">
        <f t="shared" si="8"/>
        <v>2926011.9137007762</v>
      </c>
      <c r="AN27" s="45">
        <f t="shared" si="8"/>
        <v>3009024.9565866943</v>
      </c>
      <c r="AO27" s="45">
        <f t="shared" si="8"/>
        <v>3168160.5602884032</v>
      </c>
      <c r="AP27" s="45">
        <f t="shared" si="8"/>
        <v>3369996.4284923049</v>
      </c>
      <c r="AQ27" s="45">
        <f t="shared" si="8"/>
        <v>3593454.0961233652</v>
      </c>
      <c r="AR27" s="45">
        <f t="shared" si="8"/>
        <v>3856401.9988494636</v>
      </c>
      <c r="AS27" s="45">
        <f t="shared" si="8"/>
        <v>4216871.0405856818</v>
      </c>
      <c r="AT27" s="45">
        <f t="shared" si="8"/>
        <v>4577339.2169985184</v>
      </c>
      <c r="AU27" s="45">
        <f t="shared" si="8"/>
        <v>4762888.3935100306</v>
      </c>
      <c r="AV27" s="45">
        <f t="shared" si="8"/>
        <v>4968982.6013019066</v>
      </c>
      <c r="AW27" s="45">
        <f t="shared" si="8"/>
        <v>5129634.4678194728</v>
      </c>
      <c r="AX27" s="45">
        <f t="shared" si="8"/>
        <v>5353086.1757756341</v>
      </c>
      <c r="AY27" s="45">
        <f t="shared" si="8"/>
        <v>5309777.6826547515</v>
      </c>
      <c r="AZ27" s="45">
        <f t="shared" si="8"/>
        <v>5429635.4112164378</v>
      </c>
      <c r="BA27" s="45">
        <f t="shared" si="8"/>
        <v>5631075.872499316</v>
      </c>
    </row>
    <row r="28" spans="1:53" ht="12.75" customHeight="1" x14ac:dyDescent="0.25">
      <c r="B28" s="61"/>
      <c r="C28" s="45"/>
      <c r="D28" s="45"/>
      <c r="E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</row>
    <row r="29" spans="1:53" ht="12.75" customHeight="1" x14ac:dyDescent="0.25">
      <c r="B29" s="61"/>
      <c r="C29" s="45"/>
      <c r="D29" s="45"/>
      <c r="E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</row>
    <row r="30" spans="1:53" ht="15" customHeight="1" x14ac:dyDescent="0.35">
      <c r="A30" s="26" t="s">
        <v>211</v>
      </c>
      <c r="B30" s="61"/>
      <c r="C30" s="73">
        <f t="shared" ref="C30:AH30" si="9">C27+C12</f>
        <v>19666.666666666668</v>
      </c>
      <c r="D30" s="73">
        <f t="shared" si="9"/>
        <v>19338.888888888891</v>
      </c>
      <c r="E30" s="73" t="e">
        <f t="shared" si="9"/>
        <v>#REF!</v>
      </c>
      <c r="F30" s="47">
        <f t="shared" si="9"/>
        <v>-346294.38242124656</v>
      </c>
      <c r="G30" s="47">
        <f t="shared" si="9"/>
        <v>-322418.53886272677</v>
      </c>
      <c r="H30" s="47">
        <f t="shared" si="9"/>
        <v>-243231.89466257123</v>
      </c>
      <c r="I30" s="47">
        <f t="shared" si="9"/>
        <v>-84269.567601800009</v>
      </c>
      <c r="J30" s="47">
        <f t="shared" si="9"/>
        <v>75128.277259893643</v>
      </c>
      <c r="K30" s="47">
        <f t="shared" si="9"/>
        <v>85724.987670559291</v>
      </c>
      <c r="L30" s="47">
        <f t="shared" si="9"/>
        <v>111778.50927334998</v>
      </c>
      <c r="M30" s="47">
        <f t="shared" si="9"/>
        <v>108243.51219482919</v>
      </c>
      <c r="N30" s="47">
        <f t="shared" si="9"/>
        <v>157877.55703421944</v>
      </c>
      <c r="O30" s="47">
        <f t="shared" si="9"/>
        <v>5077.6083535980433</v>
      </c>
      <c r="P30" s="47">
        <f t="shared" si="9"/>
        <v>-27142.720830967872</v>
      </c>
      <c r="Q30" s="47">
        <f t="shared" si="9"/>
        <v>1155.311442659453</v>
      </c>
      <c r="R30" s="73">
        <f t="shared" si="9"/>
        <v>67576.782620311686</v>
      </c>
      <c r="S30" s="73">
        <f t="shared" si="9"/>
        <v>167947.61858801937</v>
      </c>
      <c r="T30" s="73">
        <f t="shared" si="9"/>
        <v>328449.78399550624</v>
      </c>
      <c r="U30" s="73">
        <f t="shared" si="9"/>
        <v>582803.94272935193</v>
      </c>
      <c r="V30" s="73">
        <f t="shared" si="9"/>
        <v>836961.69085048931</v>
      </c>
      <c r="W30" s="73">
        <f t="shared" si="9"/>
        <v>919478.48753164569</v>
      </c>
      <c r="X30" s="73">
        <f t="shared" si="9"/>
        <v>1018867.2359947267</v>
      </c>
      <c r="Y30" s="73">
        <f t="shared" si="9"/>
        <v>1083913.736448135</v>
      </c>
      <c r="Z30" s="73">
        <f t="shared" si="9"/>
        <v>1203359.5000240176</v>
      </c>
      <c r="AA30" s="73">
        <f t="shared" si="9"/>
        <v>1080220.8027154354</v>
      </c>
      <c r="AB30" s="73">
        <f t="shared" si="9"/>
        <v>1127587.4383134507</v>
      </c>
      <c r="AC30" s="73">
        <f t="shared" si="9"/>
        <v>1225961.3263441271</v>
      </c>
      <c r="AD30" s="73">
        <f t="shared" si="9"/>
        <v>1367412.7380054337</v>
      </c>
      <c r="AE30" s="73">
        <f t="shared" si="9"/>
        <v>1548348.427694608</v>
      </c>
      <c r="AF30" s="73">
        <f t="shared" si="9"/>
        <v>1770142.8021111849</v>
      </c>
      <c r="AG30" s="73">
        <f t="shared" si="9"/>
        <v>2088096.7076763744</v>
      </c>
      <c r="AH30" s="73">
        <f t="shared" si="9"/>
        <v>2406053.0835210322</v>
      </c>
      <c r="AI30" s="73">
        <f t="shared" ref="AI30:BA30" si="10">AI27+AI12</f>
        <v>2545958.9644738361</v>
      </c>
      <c r="AJ30" s="73">
        <f t="shared" si="10"/>
        <v>2704898.1095496477</v>
      </c>
      <c r="AK30" s="73">
        <f t="shared" si="10"/>
        <v>2825777.8524380852</v>
      </c>
      <c r="AL30" s="73">
        <f t="shared" si="10"/>
        <v>3006730.5554922703</v>
      </c>
      <c r="AM30" s="73">
        <f t="shared" si="10"/>
        <v>2937306.1242177752</v>
      </c>
      <c r="AN30" s="73">
        <f t="shared" si="10"/>
        <v>3020130.9302617433</v>
      </c>
      <c r="AO30" s="73">
        <f t="shared" si="10"/>
        <v>3179081.4344022013</v>
      </c>
      <c r="AP30" s="73">
        <f t="shared" si="10"/>
        <v>3380735.2880375395</v>
      </c>
      <c r="AQ30" s="73">
        <f t="shared" si="10"/>
        <v>3604013.9746761792</v>
      </c>
      <c r="AR30" s="73">
        <f t="shared" si="10"/>
        <v>3866785.8794263974</v>
      </c>
      <c r="AS30" s="73">
        <f t="shared" si="10"/>
        <v>4227081.8564863335</v>
      </c>
      <c r="AT30" s="73">
        <f t="shared" si="10"/>
        <v>4587379.8526341589</v>
      </c>
      <c r="AU30" s="73">
        <f t="shared" si="10"/>
        <v>4772761.6852184106</v>
      </c>
      <c r="AV30" s="73">
        <f t="shared" si="10"/>
        <v>4978691.3381484803</v>
      </c>
      <c r="AW30" s="73">
        <f t="shared" si="10"/>
        <v>5139181.3923852704</v>
      </c>
      <c r="AX30" s="73">
        <f t="shared" si="10"/>
        <v>5362473.9849320017</v>
      </c>
      <c r="AY30" s="73">
        <f t="shared" si="10"/>
        <v>5319009.0283251796</v>
      </c>
      <c r="AZ30" s="73">
        <f t="shared" si="10"/>
        <v>5438712.9011256918</v>
      </c>
      <c r="BA30" s="73">
        <f t="shared" si="10"/>
        <v>5640002.0709100831</v>
      </c>
    </row>
    <row r="31" spans="1:53" ht="12.75" customHeight="1" x14ac:dyDescent="0.25">
      <c r="B31" s="61"/>
      <c r="C31" s="45"/>
      <c r="D31" s="45"/>
      <c r="E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</row>
    <row r="32" spans="1:53" ht="12.75" customHeight="1" x14ac:dyDescent="0.25"/>
    <row r="33" spans="1:53" ht="12.75" customHeight="1" x14ac:dyDescent="0.35">
      <c r="B33" s="27" t="s">
        <v>212</v>
      </c>
      <c r="C33" s="25">
        <f>'Cashflow Workings'!C8</f>
        <v>0</v>
      </c>
      <c r="D33" s="25">
        <f>C33+'Cashflow Workings'!D8</f>
        <v>0</v>
      </c>
      <c r="E33" s="25" t="e">
        <f>D33+'Cashflow Workings'!#REF!</f>
        <v>#REF!</v>
      </c>
      <c r="F33" s="25" t="e">
        <f>E33+'Cashflow Workings'!E8</f>
        <v>#REF!</v>
      </c>
      <c r="G33" s="25" t="e">
        <f>F33+'Cashflow Workings'!G8</f>
        <v>#REF!</v>
      </c>
      <c r="H33" s="25" t="e">
        <f>G33+'Cashflow Workings'!H8</f>
        <v>#REF!</v>
      </c>
      <c r="I33" s="25" t="e">
        <f>H33+'Cashflow Workings'!I8</f>
        <v>#REF!</v>
      </c>
      <c r="J33" s="25" t="e">
        <f>I33+'Cashflow Workings'!J8</f>
        <v>#REF!</v>
      </c>
      <c r="K33" s="25" t="e">
        <f>J33+'Cashflow Workings'!K8</f>
        <v>#REF!</v>
      </c>
      <c r="L33" s="25" t="e">
        <f>K33+'Cashflow Workings'!L8</f>
        <v>#REF!</v>
      </c>
      <c r="M33" s="25" t="e">
        <f>L33+'Cashflow Workings'!M8</f>
        <v>#REF!</v>
      </c>
      <c r="N33" s="25" t="e">
        <f>M33+'Cashflow Workings'!N8</f>
        <v>#REF!</v>
      </c>
      <c r="O33" s="25" t="e">
        <f>N33+'Cashflow Workings'!O8</f>
        <v>#REF!</v>
      </c>
      <c r="P33" s="25" t="e">
        <f>O33+'Cashflow Workings'!P8</f>
        <v>#REF!</v>
      </c>
      <c r="Q33" s="25" t="e">
        <f>P33+'Cashflow Workings'!Q8</f>
        <v>#REF!</v>
      </c>
      <c r="R33" s="25" t="e">
        <f>Q33+'Cashflow Workings'!R8</f>
        <v>#REF!</v>
      </c>
      <c r="S33" s="25" t="e">
        <f>R33+'Cashflow Workings'!S8</f>
        <v>#REF!</v>
      </c>
      <c r="T33" s="25" t="e">
        <f>S33+'Cashflow Workings'!T8</f>
        <v>#REF!</v>
      </c>
      <c r="U33" s="25" t="e">
        <f>T33+'Cashflow Workings'!U8</f>
        <v>#REF!</v>
      </c>
      <c r="V33" s="25" t="e">
        <f>U33+'Cashflow Workings'!V8</f>
        <v>#REF!</v>
      </c>
      <c r="W33" s="25" t="e">
        <f>V33+'Cashflow Workings'!W8</f>
        <v>#REF!</v>
      </c>
      <c r="X33" s="25" t="e">
        <f>W33+'Cashflow Workings'!X8</f>
        <v>#REF!</v>
      </c>
      <c r="Y33" s="25" t="e">
        <f>X33+'Cashflow Workings'!Y8</f>
        <v>#REF!</v>
      </c>
      <c r="Z33" s="25" t="e">
        <f>Y33+'Cashflow Workings'!Z8</f>
        <v>#REF!</v>
      </c>
      <c r="AA33" s="25" t="e">
        <f>Z33+'Cashflow Workings'!AA8</f>
        <v>#REF!</v>
      </c>
      <c r="AB33" s="25" t="e">
        <f>AA33+'Cashflow Workings'!AB8</f>
        <v>#REF!</v>
      </c>
      <c r="AC33" s="25" t="e">
        <f>AB33+'Cashflow Workings'!AC8</f>
        <v>#REF!</v>
      </c>
      <c r="AD33" s="25" t="e">
        <f>AC33+'Cashflow Workings'!AD8</f>
        <v>#REF!</v>
      </c>
      <c r="AE33" s="25" t="e">
        <f>AD33+'Cashflow Workings'!AE8</f>
        <v>#REF!</v>
      </c>
      <c r="AF33" s="25" t="e">
        <f>AE33+'Cashflow Workings'!AF8</f>
        <v>#REF!</v>
      </c>
      <c r="AG33" s="25" t="e">
        <f>AF33+'Cashflow Workings'!AG8</f>
        <v>#REF!</v>
      </c>
      <c r="AH33" s="25" t="e">
        <f>AG33+'Cashflow Workings'!AH8</f>
        <v>#REF!</v>
      </c>
      <c r="AI33" s="25" t="e">
        <f>AH33+'Cashflow Workings'!AI8</f>
        <v>#REF!</v>
      </c>
      <c r="AJ33" s="25" t="e">
        <f>AI33+'Cashflow Workings'!AJ8</f>
        <v>#REF!</v>
      </c>
      <c r="AK33" s="25" t="e">
        <f>AJ33+'Cashflow Workings'!AK8</f>
        <v>#REF!</v>
      </c>
      <c r="AL33" s="25" t="e">
        <f>AK33+'Cashflow Workings'!AL8</f>
        <v>#REF!</v>
      </c>
      <c r="AM33" s="25" t="e">
        <f>AL33+'Cashflow Workings'!AM8</f>
        <v>#REF!</v>
      </c>
      <c r="AN33" s="25" t="e">
        <f>AM33+'Cashflow Workings'!AN8</f>
        <v>#REF!</v>
      </c>
      <c r="AO33" s="25" t="e">
        <f>AN33+'Cashflow Workings'!AO8</f>
        <v>#REF!</v>
      </c>
      <c r="AP33" s="25" t="e">
        <f>AO33+'Cashflow Workings'!AP8</f>
        <v>#REF!</v>
      </c>
      <c r="AQ33" s="25" t="e">
        <f>AP33+'Cashflow Workings'!AQ8</f>
        <v>#REF!</v>
      </c>
      <c r="AR33" s="25" t="e">
        <f>AQ33+'Cashflow Workings'!AR8</f>
        <v>#REF!</v>
      </c>
      <c r="AS33" s="25" t="e">
        <f>AR33+'Cashflow Workings'!AS8</f>
        <v>#REF!</v>
      </c>
      <c r="AT33" s="25" t="e">
        <f>AS33+'Cashflow Workings'!AT8</f>
        <v>#REF!</v>
      </c>
      <c r="AU33" s="25" t="e">
        <f>AT33+'Cashflow Workings'!AU8</f>
        <v>#REF!</v>
      </c>
      <c r="AV33" s="25" t="e">
        <f>AU33+'Cashflow Workings'!AV8</f>
        <v>#REF!</v>
      </c>
      <c r="AW33" s="25" t="e">
        <f>AV33+'Cashflow Workings'!AW8</f>
        <v>#REF!</v>
      </c>
      <c r="AX33" s="25" t="e">
        <f>AW33+'Cashflow Workings'!AX8</f>
        <v>#REF!</v>
      </c>
      <c r="AY33" s="25" t="e">
        <f>AX33+'Cashflow Workings'!AY8</f>
        <v>#REF!</v>
      </c>
      <c r="AZ33" s="25" t="e">
        <f>AY33+'Cashflow Workings'!AZ8</f>
        <v>#REF!</v>
      </c>
      <c r="BA33" s="25" t="e">
        <f>AZ33+'Cashflow Workings'!BA8</f>
        <v>#REF!</v>
      </c>
    </row>
    <row r="34" spans="1:53" ht="12.75" customHeight="1" x14ac:dyDescent="0.25"/>
    <row r="35" spans="1:53" ht="12.75" customHeight="1" x14ac:dyDescent="0.35">
      <c r="B35" s="71" t="s">
        <v>213</v>
      </c>
      <c r="C35" s="25">
        <f>P_L!C80</f>
        <v>0</v>
      </c>
      <c r="D35" s="25">
        <f>C35+P_L!D80</f>
        <v>0</v>
      </c>
      <c r="E35" s="25">
        <f>D35+P_L!E80</f>
        <v>-426103.36856410257</v>
      </c>
      <c r="F35" s="25">
        <f>E35+P_L!F80</f>
        <v>-437937.23956410389</v>
      </c>
      <c r="G35" s="25">
        <f>F35+P_L!G80</f>
        <v>-414061.39600558463</v>
      </c>
      <c r="H35" s="25">
        <f>G35+P_L!H80</f>
        <v>-334874.75180542917</v>
      </c>
      <c r="I35" s="25">
        <f>H35+P_L!I80</f>
        <v>-175912.42474465817</v>
      </c>
      <c r="J35" s="25">
        <f>I35+P_L!J80</f>
        <v>-16514.579882964725</v>
      </c>
      <c r="K35" s="25">
        <f>J35+P_L!K80</f>
        <v>-5917.8694722990967</v>
      </c>
      <c r="L35" s="25">
        <f>K35+P_L!L80</f>
        <v>20135.652130491704</v>
      </c>
      <c r="M35" s="25">
        <f>L35+P_L!M80</f>
        <v>16600.655051970713</v>
      </c>
      <c r="N35" s="25">
        <f>M35+P_L!N80</f>
        <v>66234.699891360913</v>
      </c>
      <c r="O35" s="25">
        <f>N35+P_L!O80</f>
        <v>-86565.248789260717</v>
      </c>
      <c r="P35" s="25">
        <f>O35+P_L!P80</f>
        <v>-118785.57797382656</v>
      </c>
      <c r="Q35" s="25">
        <f>P35+P_L!Q80</f>
        <v>-90487.545700199276</v>
      </c>
      <c r="R35" s="25">
        <f>Q35+P_L!R80</f>
        <v>-32170.49556714925</v>
      </c>
      <c r="S35" s="25">
        <f>R35+P_L!S80</f>
        <v>60748.385359608626</v>
      </c>
      <c r="T35" s="25">
        <f>S35+P_L!T80</f>
        <v>214455.13964232121</v>
      </c>
      <c r="U35" s="25">
        <f>T35+P_L!U80</f>
        <v>462674.5345670447</v>
      </c>
      <c r="V35" s="25">
        <f>U35+P_L!V80</f>
        <v>711362.29524043389</v>
      </c>
      <c r="W35" s="25">
        <f>V35+P_L!W80</f>
        <v>789078.03568747465</v>
      </c>
      <c r="X35" s="25">
        <f>W35+P_L!X80</f>
        <v>884338.83995015861</v>
      </c>
      <c r="Y35" s="25">
        <f>X35+P_L!Y80</f>
        <v>945934.71518709906</v>
      </c>
      <c r="Z35" s="25">
        <f>Y35+P_L!Z80</f>
        <v>1062611.4057740921</v>
      </c>
      <c r="AA35" s="25">
        <f>Z35+P_L!AA80</f>
        <v>937389.44740562083</v>
      </c>
      <c r="AB35" s="25">
        <f>AA35+P_L!AB80</f>
        <v>983362.92019730422</v>
      </c>
      <c r="AC35" s="25">
        <f>AB35+P_L!AC80</f>
        <v>1081038.0567892909</v>
      </c>
      <c r="AD35" s="25">
        <f>AC35+P_L!AD80</f>
        <v>1222489.4684505977</v>
      </c>
      <c r="AE35" s="25">
        <f>AD35+P_L!AE80</f>
        <v>1403425.1581397718</v>
      </c>
      <c r="AF35" s="25">
        <f>AE35+P_L!AF80</f>
        <v>1625219.5325563487</v>
      </c>
      <c r="AG35" s="25">
        <f>AF35+P_L!AG80</f>
        <v>1943173.4381215381</v>
      </c>
      <c r="AH35" s="25">
        <f>AG35+P_L!AH80</f>
        <v>2261129.8139661965</v>
      </c>
      <c r="AI35" s="25">
        <f>AH35+P_L!AI80</f>
        <v>2401035.6949189994</v>
      </c>
      <c r="AJ35" s="25">
        <f>AI35+P_L!AJ80</f>
        <v>2559974.8399948115</v>
      </c>
      <c r="AK35" s="25">
        <f>AJ35+P_L!AK80</f>
        <v>2680854.5828832486</v>
      </c>
      <c r="AL35" s="25">
        <f>AK35+P_L!AL80</f>
        <v>2861807.2859374341</v>
      </c>
      <c r="AM35" s="25">
        <f>AL35+P_L!AM80</f>
        <v>2792382.8546629385</v>
      </c>
      <c r="AN35" s="25">
        <f>AM35+P_L!AN80</f>
        <v>2875207.660706907</v>
      </c>
      <c r="AO35" s="25">
        <f>AN35+P_L!AO80</f>
        <v>3034158.1648473651</v>
      </c>
      <c r="AP35" s="25">
        <f>AO35+P_L!AP80</f>
        <v>3235812.0184827042</v>
      </c>
      <c r="AQ35" s="25">
        <f>AP35+P_L!AQ80</f>
        <v>3459090.705121343</v>
      </c>
      <c r="AR35" s="25">
        <f>AQ35+P_L!AR80</f>
        <v>3721862.6098715602</v>
      </c>
      <c r="AS35" s="25">
        <f>AR35+P_L!AS80</f>
        <v>4082158.5869314959</v>
      </c>
      <c r="AT35" s="25">
        <f>AS35+P_L!AT80</f>
        <v>4442456.5830793222</v>
      </c>
      <c r="AU35" s="25">
        <f>AT35+P_L!AU80</f>
        <v>4627838.415663573</v>
      </c>
      <c r="AV35" s="25">
        <f>AU35+P_L!AV80</f>
        <v>4833768.0685936417</v>
      </c>
      <c r="AW35" s="25">
        <f>AV35+P_L!AW80</f>
        <v>4994258.1228304319</v>
      </c>
      <c r="AX35" s="25">
        <f>AW35+P_L!AX80</f>
        <v>5217550.7153771641</v>
      </c>
      <c r="AY35" s="25">
        <f>AX35+P_L!AY80</f>
        <v>5174085.7587703401</v>
      </c>
      <c r="AZ35" s="25">
        <f>AY35+P_L!AZ80</f>
        <v>5293789.6315708524</v>
      </c>
      <c r="BA35" s="25">
        <f>AZ35+P_L!BA80</f>
        <v>5495078.8013552446</v>
      </c>
    </row>
    <row r="36" spans="1:53" ht="12.75" customHeight="1" x14ac:dyDescent="0.25"/>
    <row r="37" spans="1:53" ht="14.25" customHeight="1" x14ac:dyDescent="0.35">
      <c r="A37" s="26" t="s">
        <v>214</v>
      </c>
      <c r="C37" s="47">
        <f t="shared" ref="C37:AH37" si="11">SUM(C33:C35)</f>
        <v>0</v>
      </c>
      <c r="D37" s="47">
        <f t="shared" si="11"/>
        <v>0</v>
      </c>
      <c r="E37" s="47" t="e">
        <f t="shared" si="11"/>
        <v>#REF!</v>
      </c>
      <c r="F37" s="47" t="e">
        <f t="shared" si="11"/>
        <v>#REF!</v>
      </c>
      <c r="G37" s="47" t="e">
        <f t="shared" si="11"/>
        <v>#REF!</v>
      </c>
      <c r="H37" s="47" t="e">
        <f t="shared" si="11"/>
        <v>#REF!</v>
      </c>
      <c r="I37" s="47" t="e">
        <f t="shared" si="11"/>
        <v>#REF!</v>
      </c>
      <c r="J37" s="47" t="e">
        <f t="shared" si="11"/>
        <v>#REF!</v>
      </c>
      <c r="K37" s="47" t="e">
        <f t="shared" si="11"/>
        <v>#REF!</v>
      </c>
      <c r="L37" s="47" t="e">
        <f t="shared" si="11"/>
        <v>#REF!</v>
      </c>
      <c r="M37" s="47" t="e">
        <f t="shared" si="11"/>
        <v>#REF!</v>
      </c>
      <c r="N37" s="47" t="e">
        <f t="shared" si="11"/>
        <v>#REF!</v>
      </c>
      <c r="O37" s="47" t="e">
        <f t="shared" si="11"/>
        <v>#REF!</v>
      </c>
      <c r="P37" s="47" t="e">
        <f t="shared" si="11"/>
        <v>#REF!</v>
      </c>
      <c r="Q37" s="47" t="e">
        <f t="shared" si="11"/>
        <v>#REF!</v>
      </c>
      <c r="R37" s="47" t="e">
        <f t="shared" si="11"/>
        <v>#REF!</v>
      </c>
      <c r="S37" s="47" t="e">
        <f t="shared" si="11"/>
        <v>#REF!</v>
      </c>
      <c r="T37" s="47" t="e">
        <f t="shared" si="11"/>
        <v>#REF!</v>
      </c>
      <c r="U37" s="47" t="e">
        <f t="shared" si="11"/>
        <v>#REF!</v>
      </c>
      <c r="V37" s="47" t="e">
        <f t="shared" si="11"/>
        <v>#REF!</v>
      </c>
      <c r="W37" s="47" t="e">
        <f t="shared" si="11"/>
        <v>#REF!</v>
      </c>
      <c r="X37" s="47" t="e">
        <f t="shared" si="11"/>
        <v>#REF!</v>
      </c>
      <c r="Y37" s="47" t="e">
        <f t="shared" si="11"/>
        <v>#REF!</v>
      </c>
      <c r="Z37" s="47" t="e">
        <f t="shared" si="11"/>
        <v>#REF!</v>
      </c>
      <c r="AA37" s="47" t="e">
        <f t="shared" si="11"/>
        <v>#REF!</v>
      </c>
      <c r="AB37" s="47" t="e">
        <f t="shared" si="11"/>
        <v>#REF!</v>
      </c>
      <c r="AC37" s="47" t="e">
        <f t="shared" si="11"/>
        <v>#REF!</v>
      </c>
      <c r="AD37" s="47" t="e">
        <f t="shared" si="11"/>
        <v>#REF!</v>
      </c>
      <c r="AE37" s="47" t="e">
        <f t="shared" si="11"/>
        <v>#REF!</v>
      </c>
      <c r="AF37" s="47" t="e">
        <f t="shared" si="11"/>
        <v>#REF!</v>
      </c>
      <c r="AG37" s="47" t="e">
        <f t="shared" si="11"/>
        <v>#REF!</v>
      </c>
      <c r="AH37" s="47" t="e">
        <f t="shared" si="11"/>
        <v>#REF!</v>
      </c>
      <c r="AI37" s="47" t="e">
        <f t="shared" ref="AI37:BA37" si="12">SUM(AI33:AI35)</f>
        <v>#REF!</v>
      </c>
      <c r="AJ37" s="47" t="e">
        <f t="shared" si="12"/>
        <v>#REF!</v>
      </c>
      <c r="AK37" s="47" t="e">
        <f t="shared" si="12"/>
        <v>#REF!</v>
      </c>
      <c r="AL37" s="47" t="e">
        <f t="shared" si="12"/>
        <v>#REF!</v>
      </c>
      <c r="AM37" s="47" t="e">
        <f t="shared" si="12"/>
        <v>#REF!</v>
      </c>
      <c r="AN37" s="47" t="e">
        <f t="shared" si="12"/>
        <v>#REF!</v>
      </c>
      <c r="AO37" s="47" t="e">
        <f t="shared" si="12"/>
        <v>#REF!</v>
      </c>
      <c r="AP37" s="47" t="e">
        <f t="shared" si="12"/>
        <v>#REF!</v>
      </c>
      <c r="AQ37" s="47" t="e">
        <f t="shared" si="12"/>
        <v>#REF!</v>
      </c>
      <c r="AR37" s="47" t="e">
        <f t="shared" si="12"/>
        <v>#REF!</v>
      </c>
      <c r="AS37" s="47" t="e">
        <f t="shared" si="12"/>
        <v>#REF!</v>
      </c>
      <c r="AT37" s="47" t="e">
        <f t="shared" si="12"/>
        <v>#REF!</v>
      </c>
      <c r="AU37" s="47" t="e">
        <f t="shared" si="12"/>
        <v>#REF!</v>
      </c>
      <c r="AV37" s="47" t="e">
        <f t="shared" si="12"/>
        <v>#REF!</v>
      </c>
      <c r="AW37" s="47" t="e">
        <f t="shared" si="12"/>
        <v>#REF!</v>
      </c>
      <c r="AX37" s="47" t="e">
        <f t="shared" si="12"/>
        <v>#REF!</v>
      </c>
      <c r="AY37" s="47" t="e">
        <f t="shared" si="12"/>
        <v>#REF!</v>
      </c>
      <c r="AZ37" s="47" t="e">
        <f t="shared" si="12"/>
        <v>#REF!</v>
      </c>
      <c r="BA37" s="47" t="e">
        <f t="shared" si="12"/>
        <v>#REF!</v>
      </c>
    </row>
    <row r="38" spans="1:53" ht="12.75" customHeight="1" x14ac:dyDescent="0.25"/>
    <row r="39" spans="1:53" ht="12.75" customHeight="1" x14ac:dyDescent="0.25"/>
    <row r="40" spans="1:53" ht="12.75" customHeight="1" x14ac:dyDescent="0.25"/>
    <row r="41" spans="1:53" ht="12.75" customHeight="1" x14ac:dyDescent="0.25"/>
    <row r="42" spans="1:53" ht="12.75" customHeight="1" x14ac:dyDescent="0.25"/>
    <row r="43" spans="1:53" ht="12.75" customHeight="1" x14ac:dyDescent="0.25"/>
    <row r="44" spans="1:53" ht="12.75" customHeight="1" x14ac:dyDescent="0.25"/>
    <row r="45" spans="1:53" ht="12.75" customHeight="1" x14ac:dyDescent="0.25"/>
    <row r="46" spans="1:53" ht="12.75" customHeight="1" x14ac:dyDescent="0.25"/>
    <row r="47" spans="1:53" ht="12.75" customHeight="1" x14ac:dyDescent="0.25"/>
    <row r="48" spans="1:5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scale="69" firstPageNumber="0" orientation="landscape" horizontalDpi="300" verticalDpi="3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9"/>
  <sheetViews>
    <sheetView zoomScaleSheetLayoutView="75" workbookViewId="0">
      <selection activeCell="A2" sqref="A2"/>
    </sheetView>
  </sheetViews>
  <sheetFormatPr defaultColWidth="9.08984375" defaultRowHeight="12.5" x14ac:dyDescent="0.25"/>
  <cols>
    <col min="1" max="1" width="2.453125" style="1" customWidth="1"/>
    <col min="2" max="2" width="30.54296875" style="1" customWidth="1"/>
    <col min="3" max="17" width="0" style="25" hidden="1" customWidth="1"/>
    <col min="18" max="18" width="14.08984375" style="25" customWidth="1"/>
    <col min="19" max="19" width="13.81640625" style="25" customWidth="1"/>
    <col min="20" max="20" width="14.26953125" style="25" customWidth="1"/>
    <col min="21" max="21" width="15" style="25" customWidth="1"/>
    <col min="22" max="22" width="13.54296875" style="25" customWidth="1"/>
    <col min="23" max="23" width="15.54296875" style="25" customWidth="1"/>
    <col min="24" max="24" width="13.81640625" style="25" customWidth="1"/>
    <col min="25" max="25" width="14.26953125" style="25" customWidth="1"/>
    <col min="26" max="26" width="14.7265625" style="25" customWidth="1"/>
    <col min="27" max="27" width="14.54296875" style="25" customWidth="1"/>
    <col min="28" max="29" width="14" style="25" customWidth="1"/>
    <col min="30" max="53" width="0" style="25" hidden="1" customWidth="1"/>
    <col min="54" max="16384" width="9.08984375" style="1"/>
  </cols>
  <sheetData>
    <row r="1" spans="1:53" ht="15.5" x14ac:dyDescent="0.35">
      <c r="A1" s="26" t="s">
        <v>240</v>
      </c>
      <c r="B1" s="27"/>
    </row>
    <row r="2" spans="1:53" ht="15.5" x14ac:dyDescent="0.35">
      <c r="A2" s="26" t="s">
        <v>197</v>
      </c>
      <c r="B2" s="27"/>
    </row>
    <row r="3" spans="1:53" ht="15.5" x14ac:dyDescent="0.35">
      <c r="A3" s="26" t="s">
        <v>77</v>
      </c>
      <c r="B3" s="27"/>
      <c r="E3" s="60"/>
    </row>
    <row r="5" spans="1:53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</row>
    <row r="6" spans="1:53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</row>
    <row r="7" spans="1:53" ht="15.5" x14ac:dyDescent="0.35">
      <c r="A7" s="26" t="s">
        <v>199</v>
      </c>
    </row>
    <row r="8" spans="1:53" x14ac:dyDescent="0.25">
      <c r="B8" s="34" t="s">
        <v>200</v>
      </c>
      <c r="D8" s="25">
        <f t="shared" ref="D8:Q8" si="0">C12</f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5">
        <f t="shared" si="0"/>
        <v>0</v>
      </c>
      <c r="K8" s="25">
        <f t="shared" si="0"/>
        <v>0</v>
      </c>
      <c r="L8" s="25">
        <f t="shared" si="0"/>
        <v>0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>'Bal Sheet Workings'!R8</f>
        <v>16347.040205305426</v>
      </c>
      <c r="S8" s="25">
        <f>'Bal Sheet Workings'!S8</f>
        <v>16074.589535217003</v>
      </c>
      <c r="T8" s="25">
        <f>'Bal Sheet Workings'!T8</f>
        <v>15806.679709630052</v>
      </c>
      <c r="U8" s="25">
        <f>'Bal Sheet Workings'!U8</f>
        <v>15543.235047802886</v>
      </c>
      <c r="V8" s="25">
        <f>'Bal Sheet Workings'!V8</f>
        <v>15284.181130339504</v>
      </c>
      <c r="W8" s="25">
        <f>'Bal Sheet Workings'!W8</f>
        <v>15029.444778167179</v>
      </c>
      <c r="X8" s="25">
        <f>'Bal Sheet Workings'!X8</f>
        <v>14778.954031864392</v>
      </c>
      <c r="Y8" s="25">
        <f>'Bal Sheet Workings'!Y8</f>
        <v>14532.638131333319</v>
      </c>
      <c r="Z8" s="25">
        <f>'Bal Sheet Workings'!Z8</f>
        <v>14290.427495811096</v>
      </c>
      <c r="AA8" s="25">
        <f>'Bal Sheet Workings'!AA8</f>
        <v>14052.253704214245</v>
      </c>
      <c r="AB8" s="25">
        <f>'Bal Sheet Workings'!AB8</f>
        <v>13818.049475810674</v>
      </c>
      <c r="AC8" s="25">
        <f>'Bal Sheet Workings'!AC8</f>
        <v>13587.748651213829</v>
      </c>
      <c r="AD8" s="25">
        <f t="shared" ref="AD8:BA8" si="1">AC12</f>
        <v>13361.286173693599</v>
      </c>
      <c r="AE8" s="25">
        <f t="shared" si="1"/>
        <v>13138.598070798706</v>
      </c>
      <c r="AF8" s="25">
        <f t="shared" si="1"/>
        <v>12919.621436285393</v>
      </c>
      <c r="AG8" s="25">
        <f t="shared" si="1"/>
        <v>12704.294412347304</v>
      </c>
      <c r="AH8" s="25">
        <f t="shared" si="1"/>
        <v>12492.556172141516</v>
      </c>
      <c r="AI8" s="25">
        <f t="shared" si="1"/>
        <v>12284.346902605825</v>
      </c>
      <c r="AJ8" s="25">
        <f t="shared" si="1"/>
        <v>12079.607787562394</v>
      </c>
      <c r="AK8" s="25">
        <f t="shared" si="1"/>
        <v>11878.280991103022</v>
      </c>
      <c r="AL8" s="25">
        <f t="shared" si="1"/>
        <v>11680.309641251304</v>
      </c>
      <c r="AM8" s="25">
        <f t="shared" si="1"/>
        <v>11485.637813897116</v>
      </c>
      <c r="AN8" s="25">
        <f t="shared" si="1"/>
        <v>11294.21051699883</v>
      </c>
      <c r="AO8" s="25">
        <f t="shared" si="1"/>
        <v>11105.97367504885</v>
      </c>
      <c r="AP8" s="25">
        <f t="shared" si="1"/>
        <v>10920.874113798036</v>
      </c>
      <c r="AQ8" s="25">
        <f t="shared" si="1"/>
        <v>10738.859545234736</v>
      </c>
      <c r="AR8" s="25">
        <f t="shared" si="1"/>
        <v>10559.878552814158</v>
      </c>
      <c r="AS8" s="25">
        <f t="shared" si="1"/>
        <v>10383.880576933921</v>
      </c>
      <c r="AT8" s="25">
        <f t="shared" si="1"/>
        <v>10210.815900651689</v>
      </c>
      <c r="AU8" s="25">
        <f t="shared" si="1"/>
        <v>10040.635635640827</v>
      </c>
      <c r="AV8" s="25">
        <f t="shared" si="1"/>
        <v>9873.2917083801458</v>
      </c>
      <c r="AW8" s="25">
        <f t="shared" si="1"/>
        <v>9708.7368465738109</v>
      </c>
      <c r="AX8" s="25">
        <f t="shared" si="1"/>
        <v>9546.9245657975807</v>
      </c>
      <c r="AY8" s="25">
        <f t="shared" si="1"/>
        <v>9387.8091563676207</v>
      </c>
      <c r="AZ8" s="25">
        <f t="shared" si="1"/>
        <v>9231.3456704281598</v>
      </c>
      <c r="BA8" s="25">
        <f t="shared" si="1"/>
        <v>9077.4899092543565</v>
      </c>
    </row>
    <row r="9" spans="1:53" x14ac:dyDescent="0.25">
      <c r="B9" s="34" t="s">
        <v>201</v>
      </c>
      <c r="C9" s="25">
        <f>'Bal Sheet Workings'!C9</f>
        <v>0</v>
      </c>
    </row>
    <row r="10" spans="1:53" x14ac:dyDescent="0.25">
      <c r="B10" s="34" t="s">
        <v>202</v>
      </c>
      <c r="C10" s="25">
        <f t="shared" ref="C10:Q10" si="2">-(C8+C9)*0.2/12</f>
        <v>0</v>
      </c>
      <c r="D10" s="25">
        <f t="shared" si="2"/>
        <v>0</v>
      </c>
      <c r="E10" s="25">
        <f t="shared" si="2"/>
        <v>0</v>
      </c>
      <c r="F10" s="25">
        <f t="shared" si="2"/>
        <v>0</v>
      </c>
      <c r="G10" s="25">
        <f t="shared" si="2"/>
        <v>0</v>
      </c>
      <c r="H10" s="25">
        <f t="shared" si="2"/>
        <v>0</v>
      </c>
      <c r="I10" s="25">
        <f t="shared" si="2"/>
        <v>0</v>
      </c>
      <c r="J10" s="25">
        <f t="shared" si="2"/>
        <v>0</v>
      </c>
      <c r="K10" s="25">
        <f t="shared" si="2"/>
        <v>0</v>
      </c>
      <c r="L10" s="25">
        <f t="shared" si="2"/>
        <v>0</v>
      </c>
      <c r="M10" s="25">
        <f t="shared" si="2"/>
        <v>0</v>
      </c>
      <c r="N10" s="25">
        <f t="shared" si="2"/>
        <v>0</v>
      </c>
      <c r="O10" s="25">
        <f t="shared" si="2"/>
        <v>0</v>
      </c>
      <c r="P10" s="25">
        <f t="shared" si="2"/>
        <v>0</v>
      </c>
      <c r="Q10" s="25">
        <f t="shared" si="2"/>
        <v>0</v>
      </c>
      <c r="R10" s="25">
        <f>'Bal Sheet Workings'!R10</f>
        <v>-272.45067008842381</v>
      </c>
      <c r="S10" s="25">
        <f>'Bal Sheet Workings'!S10</f>
        <v>-267.90982558695003</v>
      </c>
      <c r="T10" s="25">
        <f>'Bal Sheet Workings'!T10</f>
        <v>-263.44466182716752</v>
      </c>
      <c r="U10" s="25">
        <f>'Bal Sheet Workings'!U10</f>
        <v>-259.05391746338142</v>
      </c>
      <c r="V10" s="25">
        <f>'Bal Sheet Workings'!V10</f>
        <v>-254.73635217232507</v>
      </c>
      <c r="W10" s="25">
        <f>'Bal Sheet Workings'!W10</f>
        <v>-250.49074630278633</v>
      </c>
      <c r="X10" s="25">
        <f>'Bal Sheet Workings'!X10</f>
        <v>-246.31590053107323</v>
      </c>
      <c r="Y10" s="25">
        <f>'Bal Sheet Workings'!Y10</f>
        <v>-242.21063552222199</v>
      </c>
      <c r="Z10" s="25">
        <f>'Bal Sheet Workings'!Z10</f>
        <v>-238.17379159685163</v>
      </c>
      <c r="AA10" s="25">
        <f>'Bal Sheet Workings'!AA10</f>
        <v>-234.20422840357074</v>
      </c>
      <c r="AB10" s="25">
        <f>'Bal Sheet Workings'!AB10</f>
        <v>-230.30082459684459</v>
      </c>
      <c r="AC10" s="25">
        <f>'Bal Sheet Workings'!AC10</f>
        <v>-226.46247752023052</v>
      </c>
      <c r="AD10" s="25">
        <f t="shared" ref="AD10:BA10" si="3">-(AD8+AD9)*0.2/12</f>
        <v>-222.68810289489332</v>
      </c>
      <c r="AE10" s="25">
        <f t="shared" si="3"/>
        <v>-218.97663451331178</v>
      </c>
      <c r="AF10" s="25">
        <f t="shared" si="3"/>
        <v>-215.32702393808992</v>
      </c>
      <c r="AG10" s="25">
        <f t="shared" si="3"/>
        <v>-211.73824020578843</v>
      </c>
      <c r="AH10" s="25">
        <f t="shared" si="3"/>
        <v>-208.20926953569196</v>
      </c>
      <c r="AI10" s="25">
        <f t="shared" si="3"/>
        <v>-204.73911504343042</v>
      </c>
      <c r="AJ10" s="25">
        <f t="shared" si="3"/>
        <v>-201.32679645937324</v>
      </c>
      <c r="AK10" s="25">
        <f t="shared" si="3"/>
        <v>-197.97134985171704</v>
      </c>
      <c r="AL10" s="25">
        <f t="shared" si="3"/>
        <v>-194.67182735418839</v>
      </c>
      <c r="AM10" s="25">
        <f t="shared" si="3"/>
        <v>-191.42729689828528</v>
      </c>
      <c r="AN10" s="25">
        <f t="shared" si="3"/>
        <v>-188.23684194998052</v>
      </c>
      <c r="AO10" s="25">
        <f t="shared" si="3"/>
        <v>-185.09956125081419</v>
      </c>
      <c r="AP10" s="25">
        <f t="shared" si="3"/>
        <v>-182.0145685633006</v>
      </c>
      <c r="AQ10" s="25">
        <f t="shared" si="3"/>
        <v>-178.98099242057893</v>
      </c>
      <c r="AR10" s="25">
        <f t="shared" si="3"/>
        <v>-175.997975880236</v>
      </c>
      <c r="AS10" s="25">
        <f t="shared" si="3"/>
        <v>-173.06467628223206</v>
      </c>
      <c r="AT10" s="25">
        <f t="shared" si="3"/>
        <v>-170.18026501086149</v>
      </c>
      <c r="AU10" s="25">
        <f t="shared" si="3"/>
        <v>-167.34392726068046</v>
      </c>
      <c r="AV10" s="25">
        <f t="shared" si="3"/>
        <v>-164.55486180633577</v>
      </c>
      <c r="AW10" s="25">
        <f t="shared" si="3"/>
        <v>-161.81228077623018</v>
      </c>
      <c r="AX10" s="25">
        <f t="shared" si="3"/>
        <v>-159.11540942995967</v>
      </c>
      <c r="AY10" s="25">
        <f t="shared" si="3"/>
        <v>-156.46348593946036</v>
      </c>
      <c r="AZ10" s="25">
        <f t="shared" si="3"/>
        <v>-153.85576117380268</v>
      </c>
      <c r="BA10" s="25">
        <f t="shared" si="3"/>
        <v>-151.29149848757262</v>
      </c>
    </row>
    <row r="11" spans="1:53" x14ac:dyDescent="0.25">
      <c r="B11" s="34"/>
    </row>
    <row r="12" spans="1:53" s="2" customFormat="1" ht="13" x14ac:dyDescent="0.3">
      <c r="C12" s="35">
        <f t="shared" ref="C12:AH12" si="4">SUM(C8:C11)</f>
        <v>0</v>
      </c>
      <c r="D12" s="35">
        <f t="shared" si="4"/>
        <v>0</v>
      </c>
      <c r="E12" s="35">
        <f t="shared" si="4"/>
        <v>0</v>
      </c>
      <c r="F12" s="35">
        <f t="shared" si="4"/>
        <v>0</v>
      </c>
      <c r="G12" s="35">
        <f t="shared" si="4"/>
        <v>0</v>
      </c>
      <c r="H12" s="35">
        <f t="shared" si="4"/>
        <v>0</v>
      </c>
      <c r="I12" s="35">
        <f t="shared" si="4"/>
        <v>0</v>
      </c>
      <c r="J12" s="35">
        <f t="shared" si="4"/>
        <v>0</v>
      </c>
      <c r="K12" s="35">
        <f t="shared" si="4"/>
        <v>0</v>
      </c>
      <c r="L12" s="35">
        <f t="shared" si="4"/>
        <v>0</v>
      </c>
      <c r="M12" s="35">
        <f t="shared" si="4"/>
        <v>0</v>
      </c>
      <c r="N12" s="35">
        <f t="shared" si="4"/>
        <v>0</v>
      </c>
      <c r="O12" s="35">
        <f t="shared" si="4"/>
        <v>0</v>
      </c>
      <c r="P12" s="35">
        <f t="shared" si="4"/>
        <v>0</v>
      </c>
      <c r="Q12" s="35">
        <f t="shared" si="4"/>
        <v>0</v>
      </c>
      <c r="R12" s="35">
        <f t="shared" si="4"/>
        <v>16074.589535217003</v>
      </c>
      <c r="S12" s="35">
        <f t="shared" si="4"/>
        <v>15806.679709630052</v>
      </c>
      <c r="T12" s="35">
        <f t="shared" si="4"/>
        <v>15543.235047802886</v>
      </c>
      <c r="U12" s="35">
        <f t="shared" si="4"/>
        <v>15284.181130339504</v>
      </c>
      <c r="V12" s="35">
        <f t="shared" si="4"/>
        <v>15029.444778167179</v>
      </c>
      <c r="W12" s="35">
        <f t="shared" si="4"/>
        <v>14778.954031864392</v>
      </c>
      <c r="X12" s="35">
        <f t="shared" si="4"/>
        <v>14532.638131333319</v>
      </c>
      <c r="Y12" s="35">
        <f t="shared" si="4"/>
        <v>14290.427495811096</v>
      </c>
      <c r="Z12" s="35">
        <f t="shared" si="4"/>
        <v>14052.253704214245</v>
      </c>
      <c r="AA12" s="35">
        <f t="shared" si="4"/>
        <v>13818.049475810674</v>
      </c>
      <c r="AB12" s="35">
        <f t="shared" si="4"/>
        <v>13587.748651213829</v>
      </c>
      <c r="AC12" s="35">
        <f t="shared" si="4"/>
        <v>13361.286173693599</v>
      </c>
      <c r="AD12" s="35">
        <f t="shared" si="4"/>
        <v>13138.598070798706</v>
      </c>
      <c r="AE12" s="35">
        <f t="shared" si="4"/>
        <v>12919.621436285393</v>
      </c>
      <c r="AF12" s="35">
        <f t="shared" si="4"/>
        <v>12704.294412347304</v>
      </c>
      <c r="AG12" s="35">
        <f t="shared" si="4"/>
        <v>12492.556172141516</v>
      </c>
      <c r="AH12" s="35">
        <f t="shared" si="4"/>
        <v>12284.346902605825</v>
      </c>
      <c r="AI12" s="35">
        <f t="shared" ref="AI12:BA12" si="5">SUM(AI8:AI11)</f>
        <v>12079.607787562394</v>
      </c>
      <c r="AJ12" s="35">
        <f t="shared" si="5"/>
        <v>11878.280991103022</v>
      </c>
      <c r="AK12" s="35">
        <f t="shared" si="5"/>
        <v>11680.309641251304</v>
      </c>
      <c r="AL12" s="35">
        <f t="shared" si="5"/>
        <v>11485.637813897116</v>
      </c>
      <c r="AM12" s="35">
        <f t="shared" si="5"/>
        <v>11294.21051699883</v>
      </c>
      <c r="AN12" s="35">
        <f t="shared" si="5"/>
        <v>11105.97367504885</v>
      </c>
      <c r="AO12" s="35">
        <f t="shared" si="5"/>
        <v>10920.874113798036</v>
      </c>
      <c r="AP12" s="35">
        <f t="shared" si="5"/>
        <v>10738.859545234736</v>
      </c>
      <c r="AQ12" s="35">
        <f t="shared" si="5"/>
        <v>10559.878552814158</v>
      </c>
      <c r="AR12" s="35">
        <f t="shared" si="5"/>
        <v>10383.880576933921</v>
      </c>
      <c r="AS12" s="35">
        <f t="shared" si="5"/>
        <v>10210.815900651689</v>
      </c>
      <c r="AT12" s="35">
        <f t="shared" si="5"/>
        <v>10040.635635640827</v>
      </c>
      <c r="AU12" s="35">
        <f t="shared" si="5"/>
        <v>9873.2917083801458</v>
      </c>
      <c r="AV12" s="35">
        <f t="shared" si="5"/>
        <v>9708.7368465738109</v>
      </c>
      <c r="AW12" s="35">
        <f t="shared" si="5"/>
        <v>9546.9245657975807</v>
      </c>
      <c r="AX12" s="35">
        <f t="shared" si="5"/>
        <v>9387.8091563676207</v>
      </c>
      <c r="AY12" s="35">
        <f t="shared" si="5"/>
        <v>9231.3456704281598</v>
      </c>
      <c r="AZ12" s="35">
        <f t="shared" si="5"/>
        <v>9077.4899092543565</v>
      </c>
      <c r="BA12" s="35">
        <f t="shared" si="5"/>
        <v>8926.1984107667831</v>
      </c>
    </row>
    <row r="14" spans="1:53" ht="15.5" x14ac:dyDescent="0.35">
      <c r="A14" s="26" t="s">
        <v>203</v>
      </c>
    </row>
    <row r="15" spans="1:53" ht="15" customHeight="1" x14ac:dyDescent="0.35">
      <c r="A15" s="26"/>
      <c r="B15" s="1" t="s">
        <v>204</v>
      </c>
      <c r="C15" s="25">
        <f>'Cashflow Workings'!C35</f>
        <v>0</v>
      </c>
      <c r="D15" s="25">
        <f>C15+'Cashflow Workings'!D35</f>
        <v>0</v>
      </c>
      <c r="E15" s="25" t="e">
        <f>D15+'Cashflow Workings'!#REF!</f>
        <v>#REF!</v>
      </c>
      <c r="F15" s="25" t="e">
        <f>E15+'Cashflow Workings'!E35</f>
        <v>#REF!</v>
      </c>
      <c r="G15" s="25" t="e">
        <f>F15+'Cashflow Workings'!G35</f>
        <v>#REF!</v>
      </c>
      <c r="H15" s="25" t="e">
        <f>G15+'Cashflow Workings'!H35</f>
        <v>#REF!</v>
      </c>
      <c r="I15" s="25" t="e">
        <f>H15+'Cashflow Workings'!I35</f>
        <v>#REF!</v>
      </c>
      <c r="J15" s="25" t="e">
        <f>I15+'Cashflow Workings'!J35</f>
        <v>#REF!</v>
      </c>
      <c r="K15" s="25" t="e">
        <f>J15+'Cashflow Workings'!K35</f>
        <v>#REF!</v>
      </c>
      <c r="L15" s="25" t="e">
        <f>K15+'Cashflow Workings'!L35</f>
        <v>#REF!</v>
      </c>
      <c r="M15" s="25" t="e">
        <f>L15+'Cashflow Workings'!M35</f>
        <v>#REF!</v>
      </c>
      <c r="N15" s="25" t="e">
        <f>M15+'Cashflow Workings'!N35</f>
        <v>#REF!</v>
      </c>
      <c r="O15" s="25" t="e">
        <f>N15+'Cashflow Workings'!O35</f>
        <v>#REF!</v>
      </c>
      <c r="P15" s="25" t="e">
        <f>O15+'Cashflow Workings'!P35</f>
        <v>#REF!</v>
      </c>
      <c r="Q15" s="25" t="e">
        <f>P15+'Cashflow Workings'!Q35</f>
        <v>#REF!</v>
      </c>
      <c r="R15" s="25">
        <f>'Bal Sheet Workings'!J15</f>
        <v>300000</v>
      </c>
      <c r="S15" s="25">
        <f>'Bal Sheet Workings'!K15</f>
        <v>300000</v>
      </c>
      <c r="T15" s="25">
        <f>'Bal Sheet Workings'!L15</f>
        <v>300000</v>
      </c>
      <c r="U15" s="25">
        <f>'Bal Sheet Workings'!M15</f>
        <v>300000</v>
      </c>
      <c r="V15" s="25">
        <f>'Bal Sheet Workings'!N15</f>
        <v>300000</v>
      </c>
      <c r="W15" s="25">
        <f>'Bal Sheet Workings'!O15</f>
        <v>300000</v>
      </c>
      <c r="X15" s="25">
        <f>'Bal Sheet Workings'!P15</f>
        <v>300000</v>
      </c>
      <c r="Y15" s="25">
        <f>'Bal Sheet Workings'!Q15</f>
        <v>300000</v>
      </c>
      <c r="Z15" s="25">
        <f>'Bal Sheet Workings'!R15</f>
        <v>300000</v>
      </c>
      <c r="AA15" s="25">
        <f>'Bal Sheet Workings'!S15</f>
        <v>300000</v>
      </c>
      <c r="AB15" s="25">
        <f>'Bal Sheet Workings'!T15</f>
        <v>300000</v>
      </c>
      <c r="AC15" s="25">
        <f>'Bal Sheet Workings'!U15</f>
        <v>300000</v>
      </c>
      <c r="AD15" s="25">
        <f>'Bal Sheet Workings'!V15</f>
        <v>300000</v>
      </c>
      <c r="AE15" s="25">
        <f>'Bal Sheet Workings'!W15</f>
        <v>300000</v>
      </c>
      <c r="AF15" s="25">
        <f>'Bal Sheet Workings'!X15</f>
        <v>300000</v>
      </c>
      <c r="AG15" s="25">
        <f>'Bal Sheet Workings'!Y15</f>
        <v>300000</v>
      </c>
      <c r="AH15" s="25">
        <f>'Bal Sheet Workings'!Z15</f>
        <v>300000</v>
      </c>
      <c r="AI15" s="25">
        <f>'Bal Sheet Workings'!AA15</f>
        <v>300000</v>
      </c>
      <c r="AJ15" s="25">
        <f>'Bal Sheet Workings'!AB15</f>
        <v>300000</v>
      </c>
      <c r="AK15" s="25">
        <f>'Bal Sheet Workings'!AC15</f>
        <v>300000</v>
      </c>
      <c r="AL15" s="25">
        <f>'Bal Sheet Workings'!AD15</f>
        <v>300000</v>
      </c>
      <c r="AM15" s="25">
        <f>'Bal Sheet Workings'!AE15</f>
        <v>300000</v>
      </c>
      <c r="AN15" s="25">
        <f>'Bal Sheet Workings'!AF15</f>
        <v>300000</v>
      </c>
      <c r="AO15" s="25">
        <f>'Bal Sheet Workings'!AG15</f>
        <v>300000</v>
      </c>
      <c r="AP15" s="25">
        <f>'Bal Sheet Workings'!AH15</f>
        <v>300000</v>
      </c>
      <c r="AQ15" s="25">
        <f>'Bal Sheet Workings'!AI15</f>
        <v>300000</v>
      </c>
      <c r="AR15" s="25">
        <f>'Bal Sheet Workings'!AJ15</f>
        <v>300000</v>
      </c>
      <c r="AS15" s="25">
        <f>'Bal Sheet Workings'!AK15</f>
        <v>300000</v>
      </c>
      <c r="AT15" s="25">
        <f>'Bal Sheet Workings'!AL15</f>
        <v>300000</v>
      </c>
      <c r="AU15" s="25">
        <f>'Bal Sheet Workings'!AM15</f>
        <v>300000</v>
      </c>
      <c r="AV15" s="25">
        <f>'Bal Sheet Workings'!AN15</f>
        <v>300000</v>
      </c>
      <c r="AW15" s="25">
        <f>'Bal Sheet Workings'!AO15</f>
        <v>300000</v>
      </c>
      <c r="AX15" s="25">
        <f>'Bal Sheet Workings'!AP15</f>
        <v>300000</v>
      </c>
      <c r="AY15" s="25">
        <f>'Bal Sheet Workings'!AQ15</f>
        <v>300000</v>
      </c>
      <c r="AZ15" s="25">
        <f>'Bal Sheet Workings'!AR15</f>
        <v>300000</v>
      </c>
      <c r="BA15" s="25">
        <f>'Bal Sheet Workings'!AS15</f>
        <v>300000</v>
      </c>
    </row>
    <row r="16" spans="1:53" ht="14.25" customHeight="1" x14ac:dyDescent="0.35">
      <c r="A16" s="26"/>
      <c r="B16" s="1" t="s">
        <v>205</v>
      </c>
      <c r="C16" s="25">
        <f>'Cashflow Workings'!C21</f>
        <v>0</v>
      </c>
      <c r="D16" s="25">
        <f>C16+'Cashflow Workings'!D21-'Cashflow Workings'!D15</f>
        <v>0</v>
      </c>
      <c r="E16" s="25">
        <f>D16+'Cashflow Workings'!E21-'Cashflow Workings'!E15</f>
        <v>0</v>
      </c>
      <c r="F16" s="25">
        <f>E16+'Cashflow Workings'!F21-'Cashflow Workings'!F15</f>
        <v>0</v>
      </c>
      <c r="G16" s="25">
        <f>F16+'Cashflow Workings'!G21-'Cashflow Workings'!G15</f>
        <v>0</v>
      </c>
      <c r="H16" s="25">
        <f>G16+'Cashflow Workings'!H21-'Cashflow Workings'!H15</f>
        <v>0</v>
      </c>
      <c r="I16" s="25">
        <f>H16+'Cashflow Workings'!I21-'Cashflow Workings'!I15</f>
        <v>0</v>
      </c>
      <c r="J16" s="25">
        <f>I16+'Cashflow Workings'!J21-'Cashflow Workings'!J15</f>
        <v>0</v>
      </c>
      <c r="K16" s="25">
        <f>J16+'Cashflow Workings'!K21-'Cashflow Workings'!K15</f>
        <v>0</v>
      </c>
      <c r="L16" s="25">
        <f>K16+'Cashflow Workings'!L21-'Cashflow Workings'!L15</f>
        <v>0</v>
      </c>
      <c r="M16" s="25">
        <f>L16+'Cashflow Workings'!M21-'Cashflow Workings'!M15</f>
        <v>0</v>
      </c>
      <c r="N16" s="25">
        <f>M16+'Cashflow Workings'!N21-'Cashflow Workings'!N15</f>
        <v>0</v>
      </c>
      <c r="O16" s="25">
        <f>N16+'Cashflow Workings'!O21-'Cashflow Workings'!O15</f>
        <v>0</v>
      </c>
      <c r="P16" s="25">
        <f>O16+'Cashflow Workings'!P21-'Cashflow Workings'!P15</f>
        <v>0</v>
      </c>
      <c r="Q16" s="25">
        <f>P16+'Cashflow Workings'!Q21-'Cashflow Workings'!Q15</f>
        <v>0</v>
      </c>
      <c r="R16" s="25">
        <f>'Bal Sheet Workings'!J16</f>
        <v>0</v>
      </c>
      <c r="S16" s="25">
        <f>'Bal Sheet Workings'!K16</f>
        <v>0</v>
      </c>
      <c r="T16" s="25">
        <f>'Bal Sheet Workings'!L16</f>
        <v>0</v>
      </c>
      <c r="U16" s="25">
        <f>'Bal Sheet Workings'!M16</f>
        <v>0</v>
      </c>
      <c r="V16" s="25">
        <f>'Bal Sheet Workings'!N16</f>
        <v>0</v>
      </c>
      <c r="W16" s="25">
        <f>'Bal Sheet Workings'!O16</f>
        <v>0</v>
      </c>
      <c r="X16" s="25">
        <f>'Bal Sheet Workings'!P16</f>
        <v>0</v>
      </c>
      <c r="Y16" s="25">
        <f>'Bal Sheet Workings'!Q16</f>
        <v>0</v>
      </c>
      <c r="Z16" s="25">
        <f>'Bal Sheet Workings'!R16</f>
        <v>0</v>
      </c>
      <c r="AA16" s="25">
        <f>'Bal Sheet Workings'!S16</f>
        <v>0</v>
      </c>
      <c r="AB16" s="25">
        <f>'Bal Sheet Workings'!T16</f>
        <v>0</v>
      </c>
      <c r="AC16" s="25">
        <f>'Bal Sheet Workings'!U16</f>
        <v>0</v>
      </c>
      <c r="AD16" s="25">
        <f>'Bal Sheet Workings'!V16</f>
        <v>0</v>
      </c>
      <c r="AE16" s="25">
        <f>'Bal Sheet Workings'!W16</f>
        <v>0</v>
      </c>
      <c r="AF16" s="25">
        <f>'Bal Sheet Workings'!X16</f>
        <v>0</v>
      </c>
      <c r="AG16" s="25">
        <f>'Bal Sheet Workings'!Y16</f>
        <v>0</v>
      </c>
      <c r="AH16" s="25">
        <f>'Bal Sheet Workings'!Z16</f>
        <v>0</v>
      </c>
      <c r="AI16" s="25">
        <f>'Bal Sheet Workings'!AA16</f>
        <v>0</v>
      </c>
      <c r="AJ16" s="25">
        <f>'Bal Sheet Workings'!AB16</f>
        <v>0</v>
      </c>
      <c r="AK16" s="25">
        <f>'Bal Sheet Workings'!AC16</f>
        <v>0</v>
      </c>
      <c r="AL16" s="25">
        <f>'Bal Sheet Workings'!AD16</f>
        <v>0</v>
      </c>
      <c r="AM16" s="25">
        <f>'Bal Sheet Workings'!AE16</f>
        <v>0</v>
      </c>
      <c r="AN16" s="25">
        <f>'Bal Sheet Workings'!AF16</f>
        <v>0</v>
      </c>
      <c r="AO16" s="25">
        <f>'Bal Sheet Workings'!AG16</f>
        <v>0</v>
      </c>
      <c r="AP16" s="25">
        <f>'Bal Sheet Workings'!AH16</f>
        <v>0</v>
      </c>
      <c r="AQ16" s="25">
        <f>'Bal Sheet Workings'!AI16</f>
        <v>0</v>
      </c>
      <c r="AR16" s="25">
        <f>'Bal Sheet Workings'!AJ16</f>
        <v>0</v>
      </c>
      <c r="AS16" s="25">
        <f>'Bal Sheet Workings'!AK16</f>
        <v>0</v>
      </c>
      <c r="AT16" s="25">
        <f>'Bal Sheet Workings'!AL16</f>
        <v>0</v>
      </c>
      <c r="AU16" s="25">
        <f>'Bal Sheet Workings'!AM16</f>
        <v>0</v>
      </c>
      <c r="AV16" s="25">
        <f>'Bal Sheet Workings'!AN16</f>
        <v>0</v>
      </c>
      <c r="AW16" s="25">
        <f>'Bal Sheet Workings'!AO16</f>
        <v>0</v>
      </c>
      <c r="AX16" s="25">
        <f>'Bal Sheet Workings'!AP16</f>
        <v>0</v>
      </c>
      <c r="AY16" s="25">
        <f>'Bal Sheet Workings'!AQ16</f>
        <v>0</v>
      </c>
      <c r="AZ16" s="25">
        <f>'Bal Sheet Workings'!AR16</f>
        <v>0</v>
      </c>
      <c r="BA16" s="25">
        <f>'Bal Sheet Workings'!AS16</f>
        <v>0</v>
      </c>
    </row>
    <row r="17" spans="1:53" s="13" customFormat="1" ht="12.75" customHeight="1" x14ac:dyDescent="0.25">
      <c r="B17" s="61" t="s">
        <v>206</v>
      </c>
      <c r="C17" s="33">
        <f>'Cashflow Workings'!C50</f>
        <v>0</v>
      </c>
      <c r="D17" s="33">
        <f>'Cashflow Workings'!D50</f>
        <v>0</v>
      </c>
      <c r="E17" s="33">
        <f>'Cashflow Workings'!E50</f>
        <v>1900550.0993992675</v>
      </c>
      <c r="F17" s="33">
        <f>'Cashflow Workings'!F50</f>
        <v>1912904.7984817449</v>
      </c>
      <c r="G17" s="33">
        <f>'Cashflow Workings'!G50</f>
        <v>1970397.1992693506</v>
      </c>
      <c r="H17" s="33">
        <f>'Cashflow Workings'!H50</f>
        <v>1855107.3155569562</v>
      </c>
      <c r="I17" s="33">
        <f>'Cashflow Workings'!I50</f>
        <v>1829484.562219562</v>
      </c>
      <c r="J17" s="33">
        <f>'Cashflow Workings'!J50</f>
        <v>2112280.3401321676</v>
      </c>
      <c r="K17" s="33">
        <f>'Cashflow Workings'!K50</f>
        <v>2142267.0601697732</v>
      </c>
      <c r="L17" s="33">
        <f>'Cashflow Workings'!L50</f>
        <v>1777094.9102073787</v>
      </c>
      <c r="M17" s="33">
        <f>'Cashflow Workings'!M50</f>
        <v>1779575.9494949842</v>
      </c>
      <c r="N17" s="33">
        <f>'Cashflow Workings'!N50</f>
        <v>1875156.5886325897</v>
      </c>
      <c r="O17" s="33">
        <f>'Cashflow Workings'!O50</f>
        <v>1247409.4483201953</v>
      </c>
      <c r="P17" s="33">
        <f>'Cashflow Workings'!P50</f>
        <v>1194879.1261078008</v>
      </c>
      <c r="Q17" s="33">
        <f>'Cashflow Workings'!Q50</f>
        <v>1252371.5268954064</v>
      </c>
      <c r="R17" s="25">
        <f>'Bal Sheet Workings'!R17</f>
        <v>1090146.0354330121</v>
      </c>
      <c r="S17" s="25">
        <f>'Bal Sheet Workings'!S17</f>
        <v>1254569.8517206179</v>
      </c>
      <c r="T17" s="25">
        <f>'Bal Sheet Workings'!T17</f>
        <v>1517953.5192582237</v>
      </c>
      <c r="U17" s="25">
        <f>'Bal Sheet Workings'!U17</f>
        <v>1532472.1532958292</v>
      </c>
      <c r="V17" s="25">
        <f>'Bal Sheet Workings'!V17</f>
        <v>1956020.8698334349</v>
      </c>
      <c r="W17" s="25">
        <f>'Bal Sheet Workings'!W17</f>
        <v>2089489.6048710407</v>
      </c>
      <c r="X17" s="25">
        <f>'Bal Sheet Workings'!X17</f>
        <v>1809869.0863226359</v>
      </c>
      <c r="Y17" s="25">
        <f>'Bal Sheet Workings'!Y17</f>
        <v>1912382.7401102413</v>
      </c>
      <c r="Z17" s="25">
        <f>'Bal Sheet Workings'!Z17</f>
        <v>1928532.6812632317</v>
      </c>
      <c r="AA17" s="25">
        <f>'Bal Sheet Workings'!AA17</f>
        <v>1325135.4939648267</v>
      </c>
      <c r="AB17" s="25">
        <f>'Bal Sheet Workings'!AB17</f>
        <v>1396694.0665024321</v>
      </c>
      <c r="AC17" s="25">
        <f>'Bal Sheet Workings'!AC17</f>
        <v>1561117.8827900379</v>
      </c>
      <c r="AD17" s="25">
        <f>'Bal Sheet Workings'!AD17</f>
        <v>1637757.9908706937</v>
      </c>
      <c r="AE17" s="25">
        <f>'Bal Sheet Workings'!AE17</f>
        <v>2053609.7455373607</v>
      </c>
      <c r="AF17" s="25">
        <f>'Bal Sheet Workings'!AF17</f>
        <v>2535741.1822040277</v>
      </c>
      <c r="AG17" s="25">
        <f>'Bal Sheet Workings'!AG17</f>
        <v>2752635.6072846837</v>
      </c>
      <c r="AH17" s="25">
        <f>'Bal Sheet Workings'!AH17</f>
        <v>3398473.7192013506</v>
      </c>
      <c r="AI17" s="25">
        <f>'Bal Sheet Workings'!AI17</f>
        <v>3743137.0296180174</v>
      </c>
      <c r="AJ17" s="25">
        <f>'Bal Sheet Workings'!AJ17</f>
        <v>3720159.830426415</v>
      </c>
      <c r="AK17" s="25">
        <f>'Bal Sheet Workings'!AK17</f>
        <v>4030578.206468082</v>
      </c>
      <c r="AL17" s="25">
        <f>'Bal Sheet Workings'!AL17</f>
        <v>4446429.9611347485</v>
      </c>
      <c r="AM17" s="25">
        <f>'Bal Sheet Workings'!AM17</f>
        <v>4093580.318193146</v>
      </c>
      <c r="AN17" s="25">
        <f>'Bal Sheet Workings'!AN17</f>
        <v>4335508.8254848123</v>
      </c>
      <c r="AO17" s="25">
        <f>'Bal Sheet Workings'!AO17</f>
        <v>4714417.0702764792</v>
      </c>
      <c r="AP17" s="25">
        <f>'Bal Sheet Workings'!AP17</f>
        <v>4943896.9324598759</v>
      </c>
      <c r="AQ17" s="25">
        <f>'Bal Sheet Workings'!AQ17</f>
        <v>5430777.4371265434</v>
      </c>
      <c r="AR17" s="25">
        <f>'Bal Sheet Workings'!AR17</f>
        <v>5981646.3737932108</v>
      </c>
      <c r="AS17" s="25">
        <f>'Bal Sheet Workings'!AS17</f>
        <v>6323271.5683516087</v>
      </c>
      <c r="AT17" s="25">
        <f>'Bal Sheet Workings'!AT17</f>
        <v>7040138.4302682756</v>
      </c>
      <c r="AU17" s="25">
        <f>'Bal Sheet Workings'!AU17</f>
        <v>7461092.4344349429</v>
      </c>
      <c r="AV17" s="25">
        <f>'Bal Sheet Workings'!AV17</f>
        <v>7568171.2768221181</v>
      </c>
      <c r="AW17" s="25">
        <f>'Bal Sheet Workings'!AW17</f>
        <v>7945035.9028637847</v>
      </c>
      <c r="AX17" s="25">
        <f>'Bal Sheet Workings'!AX17</f>
        <v>8431916.4075304512</v>
      </c>
      <c r="AY17" s="25">
        <f>'Bal Sheet Workings'!AY17</f>
        <v>8174126.5911676269</v>
      </c>
      <c r="AZ17" s="25">
        <f>'Bal Sheet Workings'!AZ17</f>
        <v>8477918.8484592941</v>
      </c>
      <c r="BA17" s="25">
        <f>'Bal Sheet Workings'!BA17</f>
        <v>8927855.8432509601</v>
      </c>
    </row>
    <row r="18" spans="1:53" ht="12.75" customHeight="1" x14ac:dyDescent="0.25">
      <c r="B18" s="63"/>
      <c r="C18" s="72">
        <f t="shared" ref="C18:AH18" si="6">SUM(C15:C17)</f>
        <v>0</v>
      </c>
      <c r="D18" s="72">
        <f t="shared" si="6"/>
        <v>0</v>
      </c>
      <c r="E18" s="72" t="e">
        <f t="shared" si="6"/>
        <v>#REF!</v>
      </c>
      <c r="F18" s="72" t="e">
        <f t="shared" si="6"/>
        <v>#REF!</v>
      </c>
      <c r="G18" s="72" t="e">
        <f t="shared" si="6"/>
        <v>#REF!</v>
      </c>
      <c r="H18" s="72" t="e">
        <f t="shared" si="6"/>
        <v>#REF!</v>
      </c>
      <c r="I18" s="72" t="e">
        <f t="shared" si="6"/>
        <v>#REF!</v>
      </c>
      <c r="J18" s="72" t="e">
        <f t="shared" si="6"/>
        <v>#REF!</v>
      </c>
      <c r="K18" s="72" t="e">
        <f t="shared" si="6"/>
        <v>#REF!</v>
      </c>
      <c r="L18" s="72" t="e">
        <f t="shared" si="6"/>
        <v>#REF!</v>
      </c>
      <c r="M18" s="72" t="e">
        <f t="shared" si="6"/>
        <v>#REF!</v>
      </c>
      <c r="N18" s="72" t="e">
        <f t="shared" si="6"/>
        <v>#REF!</v>
      </c>
      <c r="O18" s="72" t="e">
        <f t="shared" si="6"/>
        <v>#REF!</v>
      </c>
      <c r="P18" s="72" t="e">
        <f t="shared" si="6"/>
        <v>#REF!</v>
      </c>
      <c r="Q18" s="72" t="e">
        <f t="shared" si="6"/>
        <v>#REF!</v>
      </c>
      <c r="R18" s="28">
        <f t="shared" si="6"/>
        <v>1390146.0354330121</v>
      </c>
      <c r="S18" s="28">
        <f t="shared" si="6"/>
        <v>1554569.8517206179</v>
      </c>
      <c r="T18" s="28">
        <f t="shared" si="6"/>
        <v>1817953.5192582237</v>
      </c>
      <c r="U18" s="28">
        <f t="shared" si="6"/>
        <v>1832472.1532958292</v>
      </c>
      <c r="V18" s="28">
        <f t="shared" si="6"/>
        <v>2256020.8698334349</v>
      </c>
      <c r="W18" s="28">
        <f t="shared" si="6"/>
        <v>2389489.6048710407</v>
      </c>
      <c r="X18" s="28">
        <f t="shared" si="6"/>
        <v>2109869.0863226359</v>
      </c>
      <c r="Y18" s="28">
        <f t="shared" si="6"/>
        <v>2212382.7401102413</v>
      </c>
      <c r="Z18" s="28">
        <f t="shared" si="6"/>
        <v>2228532.6812632317</v>
      </c>
      <c r="AA18" s="28">
        <f t="shared" si="6"/>
        <v>1625135.4939648267</v>
      </c>
      <c r="AB18" s="28">
        <f t="shared" si="6"/>
        <v>1696694.0665024321</v>
      </c>
      <c r="AC18" s="28">
        <f t="shared" si="6"/>
        <v>1861117.8827900379</v>
      </c>
      <c r="AD18" s="72">
        <f t="shared" si="6"/>
        <v>1937757.9908706937</v>
      </c>
      <c r="AE18" s="72">
        <f t="shared" si="6"/>
        <v>2353609.7455373607</v>
      </c>
      <c r="AF18" s="72">
        <f t="shared" si="6"/>
        <v>2835741.1822040277</v>
      </c>
      <c r="AG18" s="72">
        <f t="shared" si="6"/>
        <v>3052635.6072846837</v>
      </c>
      <c r="AH18" s="72">
        <f t="shared" si="6"/>
        <v>3698473.7192013506</v>
      </c>
      <c r="AI18" s="72">
        <f t="shared" ref="AI18:BA18" si="7">SUM(AI15:AI17)</f>
        <v>4043137.0296180174</v>
      </c>
      <c r="AJ18" s="72">
        <f t="shared" si="7"/>
        <v>4020159.830426415</v>
      </c>
      <c r="AK18" s="72">
        <f t="shared" si="7"/>
        <v>4330578.206468082</v>
      </c>
      <c r="AL18" s="72">
        <f t="shared" si="7"/>
        <v>4746429.9611347485</v>
      </c>
      <c r="AM18" s="72">
        <f t="shared" si="7"/>
        <v>4393580.318193146</v>
      </c>
      <c r="AN18" s="72">
        <f t="shared" si="7"/>
        <v>4635508.8254848123</v>
      </c>
      <c r="AO18" s="72">
        <f t="shared" si="7"/>
        <v>5014417.0702764792</v>
      </c>
      <c r="AP18" s="72">
        <f t="shared" si="7"/>
        <v>5243896.9324598759</v>
      </c>
      <c r="AQ18" s="72">
        <f t="shared" si="7"/>
        <v>5730777.4371265434</v>
      </c>
      <c r="AR18" s="72">
        <f t="shared" si="7"/>
        <v>6281646.3737932108</v>
      </c>
      <c r="AS18" s="72">
        <f t="shared" si="7"/>
        <v>6623271.5683516087</v>
      </c>
      <c r="AT18" s="72">
        <f t="shared" si="7"/>
        <v>7340138.4302682756</v>
      </c>
      <c r="AU18" s="72">
        <f t="shared" si="7"/>
        <v>7761092.4344349429</v>
      </c>
      <c r="AV18" s="72">
        <f t="shared" si="7"/>
        <v>7868171.2768221181</v>
      </c>
      <c r="AW18" s="72">
        <f t="shared" si="7"/>
        <v>8245035.9028637847</v>
      </c>
      <c r="AX18" s="72">
        <f t="shared" si="7"/>
        <v>8731916.4075304512</v>
      </c>
      <c r="AY18" s="72">
        <f t="shared" si="7"/>
        <v>8474126.5911676269</v>
      </c>
      <c r="AZ18" s="72">
        <f t="shared" si="7"/>
        <v>8777918.8484592941</v>
      </c>
      <c r="BA18" s="72">
        <f t="shared" si="7"/>
        <v>9227855.8432509601</v>
      </c>
    </row>
    <row r="19" spans="1:53" ht="12.75" customHeight="1" x14ac:dyDescent="0.25">
      <c r="B19" s="61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</row>
    <row r="20" spans="1:53" ht="15.75" customHeight="1" x14ac:dyDescent="0.35">
      <c r="A20" s="26" t="s">
        <v>207</v>
      </c>
      <c r="B20" s="61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</row>
    <row r="21" spans="1:53" ht="12.75" customHeight="1" x14ac:dyDescent="0.25">
      <c r="B21" s="61" t="s">
        <v>178</v>
      </c>
      <c r="C21" s="45">
        <f>-P_L!C78-'Cashflow Workings'!C40</f>
        <v>0</v>
      </c>
      <c r="D21" s="45">
        <f>C21-P_L!D78-'Cashflow Workings'!D40</f>
        <v>0</v>
      </c>
      <c r="E21" s="45">
        <f>D21-P_L!E78-'Cashflow Workings'!E40</f>
        <v>-182615.72938461541</v>
      </c>
      <c r="F21" s="45">
        <f>E21-P_L!F78-'Cashflow Workings'!F40</f>
        <v>-187687.38838461597</v>
      </c>
      <c r="G21" s="45">
        <f>F21-P_L!G78-'Cashflow Workings'!G40</f>
        <v>-177454.88400239343</v>
      </c>
      <c r="H21" s="45">
        <f>G21-P_L!H78-'Cashflow Workings'!H40</f>
        <v>-143517.7507737554</v>
      </c>
      <c r="I21" s="45">
        <f>H21-P_L!I78-'Cashflow Workings'!I40</f>
        <v>-75391.039176282109</v>
      </c>
      <c r="J21" s="45">
        <f>I21-P_L!J78-'Cashflow Workings'!J40</f>
        <v>-7077.6770926992031</v>
      </c>
      <c r="K21" s="45">
        <f>J21-P_L!K78-'Cashflow Workings'!K40</f>
        <v>-2536.2297738425059</v>
      </c>
      <c r="L21" s="45">
        <f>K21-P_L!L78-'Cashflow Workings'!L40</f>
        <v>8629.5651987821238</v>
      </c>
      <c r="M21" s="45">
        <f>L21-P_L!M78-'Cashflow Workings'!M40</f>
        <v>7114.5664508445561</v>
      </c>
      <c r="N21" s="45">
        <f>M21-P_L!N78-'Cashflow Workings'!N40</f>
        <v>28386.299953440357</v>
      </c>
      <c r="O21" s="45">
        <f>N21-P_L!O78-'Cashflow Workings'!O40</f>
        <v>-37099.392338254627</v>
      </c>
      <c r="P21" s="45">
        <f>O21-P_L!P78-'Cashflow Workings'!P40</f>
        <v>-50908.1048459257</v>
      </c>
      <c r="Q21" s="45">
        <f>P21-P_L!Q78-'Cashflow Workings'!Q40</f>
        <v>-38780.376728656862</v>
      </c>
      <c r="R21" s="25">
        <f>'Bal Sheet Workings'!R21</f>
        <v>-13787.355243063994</v>
      </c>
      <c r="S21" s="25">
        <f>R21-P_L!S78-'Cashflow Workings'!S40</f>
        <v>26035.022296975087</v>
      </c>
      <c r="T21" s="25">
        <f>S21-P_L!T78-'Cashflow Workings'!T40</f>
        <v>91909.34556099477</v>
      </c>
      <c r="U21" s="25">
        <f>T21-P_L!U78-'Cashflow Workings'!U40</f>
        <v>198289.08624301912</v>
      </c>
      <c r="V21" s="25">
        <f>U21-P_L!V78-'Cashflow Workings'!V40</f>
        <v>304869.55510304309</v>
      </c>
      <c r="W21" s="25">
        <f>V21-P_L!W78-'Cashflow Workings'!W40</f>
        <v>338176.30100891774</v>
      </c>
      <c r="X21" s="25">
        <f>W21-P_L!X78-'Cashflow Workings'!X40</f>
        <v>414961.19814262871</v>
      </c>
      <c r="Y21" s="25">
        <f>X21-P_L!Y78-'Cashflow Workings'!Y40</f>
        <v>441359.43038703175</v>
      </c>
      <c r="Z21" s="25">
        <f>Y21-P_L!Z78-'Cashflow Workings'!Z40</f>
        <v>308747.99696827051</v>
      </c>
      <c r="AA21" s="25">
        <f>Z21-P_L!AA78-'Cashflow Workings'!AA40</f>
        <v>291040.28154577216</v>
      </c>
      <c r="AB21" s="25">
        <f>AA21-P_L!AB78-'Cashflow Workings'!AB40</f>
        <v>310743.19845649361</v>
      </c>
      <c r="AC21" s="25">
        <f>AB21-P_L!AC78-'Cashflow Workings'!AC40</f>
        <v>352603.97128163074</v>
      </c>
      <c r="AD21" s="45">
        <f>AC21-P_L!AD78-'Cashflow Workings'!AD40</f>
        <v>449184.84301475156</v>
      </c>
      <c r="AE21" s="45">
        <f>AD21-P_L!AE78-'Cashflow Workings'!AE40</f>
        <v>526728.71002439759</v>
      </c>
      <c r="AF21" s="45">
        <f>AE21-P_L!AF78-'Cashflow Workings'!AF40</f>
        <v>621783.44191721629</v>
      </c>
      <c r="AG21" s="45">
        <f>AF21-P_L!AG78-'Cashflow Workings'!AG40</f>
        <v>794008.23960914393</v>
      </c>
      <c r="AH21" s="45">
        <f>AG21-P_L!AH78-'Cashflow Workings'!AH40</f>
        <v>930275.25782828324</v>
      </c>
      <c r="AI21" s="45">
        <f>AH21-P_L!AI78-'Cashflow Workings'!AI40</f>
        <v>990234.9210937703</v>
      </c>
      <c r="AJ21" s="45">
        <f>AI21-P_L!AJ78-'Cashflow Workings'!AJ40</f>
        <v>1183872.2978215632</v>
      </c>
      <c r="AK21" s="45">
        <f>AJ21-P_L!AK78-'Cashflow Workings'!AK40</f>
        <v>1235677.9019166077</v>
      </c>
      <c r="AL21" s="45">
        <f>AK21-P_L!AL78-'Cashflow Workings'!AL40</f>
        <v>1313229.0603684015</v>
      </c>
      <c r="AM21" s="45">
        <f>AL21-P_L!AM78-'Cashflow Workings'!AM40</f>
        <v>1408996.3329460626</v>
      </c>
      <c r="AN21" s="45">
        <f>AM21-P_L!AN78-'Cashflow Workings'!AN40</f>
        <v>1444492.6783934776</v>
      </c>
      <c r="AO21" s="45">
        <f>AN21-P_L!AO78-'Cashflow Workings'!AO40</f>
        <v>1512614.3230251025</v>
      </c>
      <c r="AP21" s="45">
        <f>AO21-P_L!AP78-'Cashflow Workings'!AP40</f>
        <v>1724558.003421264</v>
      </c>
      <c r="AQ21" s="45">
        <f>AP21-P_L!AQ78-'Cashflow Workings'!AQ40</f>
        <v>1820248.8691235378</v>
      </c>
      <c r="AR21" s="45">
        <f>AQ21-P_L!AR78-'Cashflow Workings'!AR40</f>
        <v>1932865.3997307739</v>
      </c>
      <c r="AS21" s="45">
        <f>AR21-P_L!AS78-'Cashflow Workings'!AS40</f>
        <v>2212798.5615946199</v>
      </c>
      <c r="AT21" s="45">
        <f>AS21-P_L!AT78-'Cashflow Workings'!AT40</f>
        <v>2367211.9885151167</v>
      </c>
      <c r="AU21" s="45">
        <f>AT21-P_L!AU78-'Cashflow Workings'!AU40</f>
        <v>2446661.3453369387</v>
      </c>
      <c r="AV21" s="45">
        <f>AU21-P_L!AV78-'Cashflow Workings'!AV40</f>
        <v>2744179.7795989048</v>
      </c>
      <c r="AW21" s="45">
        <f>AV21-P_L!AW78-'Cashflow Workings'!AW40</f>
        <v>2812961.231414672</v>
      </c>
      <c r="AX21" s="45">
        <f>AW21-P_L!AX78-'Cashflow Workings'!AX40</f>
        <v>2908658.0567918429</v>
      </c>
      <c r="AY21" s="45">
        <f>AX21-P_L!AY78-'Cashflow Workings'!AY40</f>
        <v>3099293.0869665686</v>
      </c>
      <c r="AZ21" s="45">
        <f>AY21-P_L!AZ78-'Cashflow Workings'!AZ40</f>
        <v>3150594.7467382164</v>
      </c>
      <c r="BA21" s="45">
        <f>AZ21-P_L!BA78-'Cashflow Workings'!BA40</f>
        <v>3236861.5337886703</v>
      </c>
    </row>
    <row r="22" spans="1:53" ht="12.75" customHeight="1" x14ac:dyDescent="0.25">
      <c r="B22" s="61" t="s">
        <v>208</v>
      </c>
      <c r="C22" s="62">
        <f>'Cashflow Workings'!C55-'Cashflow Workings'!C42</f>
        <v>0</v>
      </c>
      <c r="D22" s="45">
        <f>C22+'Cashflow Workings'!D55-'Cashflow Workings'!D42</f>
        <v>0</v>
      </c>
      <c r="E22" s="45">
        <f>D22+'Cashflow Workings'!E55-'Cashflow Workings'!E42</f>
        <v>-82373.659794871812</v>
      </c>
      <c r="F22" s="45">
        <f>E22+'Cashflow Workings'!F55-'Cashflow Workings'!F42</f>
        <v>55927.217583333288</v>
      </c>
      <c r="G22" s="45">
        <f>F22+'Cashflow Workings'!G55-'Cashflow Workings'!G42</f>
        <v>176462.93666666659</v>
      </c>
      <c r="H22" s="45">
        <f>G22+'Cashflow Workings'!H55-'Cashflow Workings'!H42</f>
        <v>308418.53124999994</v>
      </c>
      <c r="I22" s="45">
        <f>H22+'Cashflow Workings'!I55-'Cashflow Workings'!I42</f>
        <v>154091.54120833328</v>
      </c>
      <c r="J22" s="45">
        <f>I22+'Cashflow Workings'!J55-'Cashflow Workings'!J42</f>
        <v>308183.08241666656</v>
      </c>
      <c r="K22" s="45">
        <f>J22+'Cashflow Workings'!K55-'Cashflow Workings'!K42</f>
        <v>422664.55074999988</v>
      </c>
      <c r="L22" s="45">
        <f>K22+'Cashflow Workings'!L55-'Cashflow Workings'!L42</f>
        <v>120535.71908333327</v>
      </c>
      <c r="M22" s="45">
        <f>L22+'Cashflow Workings'!M55-'Cashflow Workings'!M42</f>
        <v>228962.93666666656</v>
      </c>
      <c r="N22" s="45">
        <f>M22+'Cashflow Workings'!N55-'Cashflow Workings'!N42</f>
        <v>355171.37209999986</v>
      </c>
      <c r="O22" s="45">
        <f>N22+'Cashflow Workings'!O55-'Cashflow Workings'!O42</f>
        <v>47884.710083333252</v>
      </c>
      <c r="P22" s="45">
        <f>O22+'Cashflow Workings'!P55-'Cashflow Workings'!P42</f>
        <v>144203.42616666656</v>
      </c>
      <c r="Q22" s="45">
        <f>P22+'Cashflow Workings'!Q55-'Cashflow Workings'!Q42</f>
        <v>264739.14524999983</v>
      </c>
      <c r="R22" s="25">
        <f>'Bal Sheet Workings'!R22</f>
        <v>123325.69208333321</v>
      </c>
      <c r="S22" s="25">
        <f>R22+'Cashflow Workings'!S55-'Cashflow Workings'!S42</f>
        <v>259787.36666666655</v>
      </c>
      <c r="T22" s="25">
        <f>S22+'Cashflow Workings'!T55-'Cashflow Workings'!T42</f>
        <v>409030.0824999999</v>
      </c>
      <c r="U22" s="25">
        <f>T22+'Cashflow Workings'!U55-'Cashflow Workings'!U42</f>
        <v>175054.74483333318</v>
      </c>
      <c r="V22" s="25">
        <f>U22+'Cashflow Workings'!V55-'Cashflow Workings'!V42</f>
        <v>350109.48966666649</v>
      </c>
      <c r="W22" s="25">
        <f>V22+'Cashflow Workings'!W55-'Cashflow Workings'!W42</f>
        <v>480003.17299999978</v>
      </c>
      <c r="X22" s="25">
        <f>W22+'Cashflow Workings'!X55-'Cashflow Workings'!X42</f>
        <v>136461.6745833332</v>
      </c>
      <c r="Y22" s="25">
        <f>X22+'Cashflow Workings'!Y55-'Cashflow Workings'!Y42</f>
        <v>259787.36666666652</v>
      </c>
      <c r="Z22" s="25">
        <f>Y22+'Cashflow Workings'!Z55-'Cashflow Workings'!Z42</f>
        <v>401363.78549999988</v>
      </c>
      <c r="AA22" s="25">
        <f>Z22+'Cashflow Workings'!AA55-'Cashflow Workings'!AA42</f>
        <v>51077.788333333214</v>
      </c>
      <c r="AB22" s="25">
        <f>AA22+'Cashflow Workings'!AB55-'Cashflow Workings'!AB42</f>
        <v>167835.48916666649</v>
      </c>
      <c r="AC22" s="25">
        <f>AB22+'Cashflow Workings'!AC55-'Cashflow Workings'!AC42</f>
        <v>304297.16374999983</v>
      </c>
      <c r="AD22" s="45">
        <f>AC22+'Cashflow Workings'!AD55-'Cashflow Workings'!AD42</f>
        <v>142682.30033333314</v>
      </c>
      <c r="AE22" s="45">
        <f>AD22+'Cashflow Workings'!AE55-'Cashflow Workings'!AE42</f>
        <v>299835.52166666649</v>
      </c>
      <c r="AF22" s="45">
        <f>AE22+'Cashflow Workings'!AF55-'Cashflow Workings'!AF42</f>
        <v>464902.52499999979</v>
      </c>
      <c r="AG22" s="45">
        <f>AF22+'Cashflow Workings'!AG55-'Cashflow Workings'!AG42</f>
        <v>191406.50858333323</v>
      </c>
      <c r="AH22" s="45">
        <f>AG22+'Cashflow Workings'!AH55-'Cashflow Workings'!AH42</f>
        <v>382813.01716666657</v>
      </c>
      <c r="AI22" s="45">
        <f>AH22+'Cashflow Workings'!AI55-'Cashflow Workings'!AI42</f>
        <v>527406.0442499998</v>
      </c>
      <c r="AJ22" s="45">
        <f>AI22+'Cashflow Workings'!AJ55-'Cashflow Workings'!AJ42</f>
        <v>151650.99645833322</v>
      </c>
      <c r="AK22" s="45">
        <f>AJ22+'Cashflow Workings'!AK55-'Cashflow Workings'!AK42</f>
        <v>289186.05416666652</v>
      </c>
      <c r="AL22" s="45">
        <f>AK22+'Cashflow Workings'!AL55-'Cashflow Workings'!AL42</f>
        <v>446339.27549999987</v>
      </c>
      <c r="AM22" s="45">
        <f>AL22+'Cashflow Workings'!AM55-'Cashflow Workings'!AM42</f>
        <v>66955.363958333211</v>
      </c>
      <c r="AN22" s="45">
        <f>AM22+'Cashflow Workings'!AN55-'Cashflow Workings'!AN42</f>
        <v>190374.48291666651</v>
      </c>
      <c r="AO22" s="45">
        <f>AN22+'Cashflow Workings'!AO55-'Cashflow Workings'!AO42</f>
        <v>342025.47937499988</v>
      </c>
      <c r="AP22" s="45">
        <f>AO22+'Cashflow Workings'!AP55-'Cashflow Workings'!AP42</f>
        <v>157725.79295833316</v>
      </c>
      <c r="AQ22" s="45">
        <f>AP22+'Cashflow Workings'!AQ55-'Cashflow Workings'!AQ42</f>
        <v>325457.76429166645</v>
      </c>
      <c r="AR22" s="45">
        <f>AQ22+'Cashflow Workings'!AR55-'Cashflow Workings'!AR42</f>
        <v>500762.26762499975</v>
      </c>
      <c r="AS22" s="45">
        <f>AR22+'Cashflow Workings'!AS55-'Cashflow Workings'!AS42</f>
        <v>201985.25858333323</v>
      </c>
      <c r="AT22" s="45">
        <f>AS22+'Cashflow Workings'!AT55-'Cashflow Workings'!AT42</f>
        <v>403970.51716666657</v>
      </c>
      <c r="AU22" s="45">
        <f>AT22+'Cashflow Workings'!AU55-'Cashflow Workings'!AU42</f>
        <v>559925.9879999999</v>
      </c>
      <c r="AV22" s="45">
        <f>AU22+'Cashflow Workings'!AV55-'Cashflow Workings'!AV42</f>
        <v>163392.18833333335</v>
      </c>
      <c r="AW22" s="45">
        <f>AV22+'Cashflow Workings'!AW55-'Cashflow Workings'!AW42</f>
        <v>310823.49604166666</v>
      </c>
      <c r="AX22" s="45">
        <f>AW22+'Cashflow Workings'!AX55-'Cashflow Workings'!AX42</f>
        <v>478555.46737500001</v>
      </c>
      <c r="AY22" s="45">
        <f>AX22+'Cashflow Workings'!AY55-'Cashflow Workings'!AY42</f>
        <v>73439.113958333386</v>
      </c>
      <c r="AZ22" s="45">
        <f>AY22+'Cashflow Workings'!AZ55-'Cashflow Workings'!AZ42</f>
        <v>206071.98291666672</v>
      </c>
      <c r="BA22" s="45">
        <f>AZ22+'Cashflow Workings'!BA55-'Cashflow Workings'!BA42</f>
        <v>368301.72937500011</v>
      </c>
    </row>
    <row r="23" spans="1:53" ht="12.75" customHeight="1" x14ac:dyDescent="0.25">
      <c r="B23" s="61" t="s">
        <v>209</v>
      </c>
      <c r="C23" s="45">
        <f>'Cashflow Workings'!C16-'Cashflow Workings'!C41</f>
        <v>0</v>
      </c>
      <c r="D23" s="45">
        <f>C23+'Cashflow Workings'!D16-'Cashflow Workings'!D41</f>
        <v>0</v>
      </c>
      <c r="E23" s="45" t="e">
        <f>D23+'Cashflow Workings'!#REF!-'Cashflow Workings'!E41</f>
        <v>#REF!</v>
      </c>
      <c r="F23" s="45" t="e">
        <f>E23+'Cashflow Workings'!#REF!-'Cashflow Workings'!F41</f>
        <v>#REF!</v>
      </c>
      <c r="G23" s="45" t="e">
        <f>F23+'Cashflow Workings'!G16-'Cashflow Workings'!G41</f>
        <v>#REF!</v>
      </c>
      <c r="H23" s="45" t="e">
        <f>G23+'Cashflow Workings'!H16-'Cashflow Workings'!H41</f>
        <v>#REF!</v>
      </c>
      <c r="I23" s="45" t="e">
        <f>H23+'Cashflow Workings'!I16-'Cashflow Workings'!I41</f>
        <v>#REF!</v>
      </c>
      <c r="J23" s="45" t="e">
        <f>I23+'Cashflow Workings'!J16-'Cashflow Workings'!J41</f>
        <v>#REF!</v>
      </c>
      <c r="K23" s="45" t="e">
        <f>J23+'Cashflow Workings'!K16-'Cashflow Workings'!K41</f>
        <v>#REF!</v>
      </c>
      <c r="L23" s="45" t="e">
        <f>K23+'Cashflow Workings'!L16-'Cashflow Workings'!L41</f>
        <v>#REF!</v>
      </c>
      <c r="M23" s="45" t="e">
        <f>L23+'Cashflow Workings'!M16-'Cashflow Workings'!M41</f>
        <v>#REF!</v>
      </c>
      <c r="N23" s="45" t="e">
        <f>M23+'Cashflow Workings'!N16-'Cashflow Workings'!N41</f>
        <v>#REF!</v>
      </c>
      <c r="O23" s="45" t="e">
        <f>N23+'Cashflow Workings'!O16-'Cashflow Workings'!O41</f>
        <v>#REF!</v>
      </c>
      <c r="P23" s="45" t="e">
        <f>O23+'Cashflow Workings'!P16-'Cashflow Workings'!P41</f>
        <v>#REF!</v>
      </c>
      <c r="Q23" s="45" t="e">
        <f>P23+'Cashflow Workings'!Q16-'Cashflow Workings'!Q41</f>
        <v>#REF!</v>
      </c>
      <c r="R23" s="25">
        <f>'Bal Sheet Workings'!R23</f>
        <v>1237209.9265522505</v>
      </c>
      <c r="S23" s="25">
        <f>'Bal Sheet Workings'!S23</f>
        <v>1132162.8999641389</v>
      </c>
      <c r="T23" s="25">
        <f>'Bal Sheet Workings'!T23</f>
        <v>1026459.3294598517</v>
      </c>
      <c r="U23" s="25">
        <f>'Bal Sheet Workings'!U23</f>
        <v>920095.11163991282</v>
      </c>
      <c r="V23" s="25">
        <f>'Bal Sheet Workings'!V23</f>
        <v>813066.1174585995</v>
      </c>
      <c r="W23" s="25">
        <f>'Bal Sheet Workings'!W23</f>
        <v>705368.19206365326</v>
      </c>
      <c r="X23" s="25">
        <f>'Bal Sheet Workings'!X23</f>
        <v>596997.15463498875</v>
      </c>
      <c r="Y23" s="25">
        <f>'Bal Sheet Workings'!Y23</f>
        <v>487948.79822239536</v>
      </c>
      <c r="Z23" s="25">
        <f>'Bal Sheet Workings'!Z23</f>
        <v>378218.88958222349</v>
      </c>
      <c r="AA23" s="25">
        <f>'Bal Sheet Workings'!AA23</f>
        <v>267803.16901305073</v>
      </c>
      <c r="AB23" s="25">
        <f>'Bal Sheet Workings'!AB23</f>
        <v>156697.35019032087</v>
      </c>
      <c r="AC23" s="25">
        <f>'Bal Sheet Workings'!AC23</f>
        <v>44897.119999949144</v>
      </c>
      <c r="AD23" s="45">
        <f>AC23+'Cashflow Workings'!AD16-'Cashflow Workings'!AD41</f>
        <v>44897.119999949144</v>
      </c>
      <c r="AE23" s="45">
        <f>AD23+'Cashflow Workings'!AE16-'Cashflow Workings'!AE41</f>
        <v>44897.119999949144</v>
      </c>
      <c r="AF23" s="45">
        <f>AE23+'Cashflow Workings'!AF16-'Cashflow Workings'!AF41</f>
        <v>44897.119999949144</v>
      </c>
      <c r="AG23" s="45">
        <f>AF23+'Cashflow Workings'!AG16-'Cashflow Workings'!AG41</f>
        <v>44897.119999949144</v>
      </c>
      <c r="AH23" s="45">
        <f>AG23+'Cashflow Workings'!AH16-'Cashflow Workings'!AH41</f>
        <v>44897.119999949144</v>
      </c>
      <c r="AI23" s="45">
        <f>AH23+'Cashflow Workings'!AI16-'Cashflow Workings'!AI41</f>
        <v>44897.119999949144</v>
      </c>
      <c r="AJ23" s="45">
        <f>AI23+'Cashflow Workings'!AJ16-'Cashflow Workings'!AJ41</f>
        <v>44897.119999949144</v>
      </c>
      <c r="AK23" s="45">
        <f>AJ23+'Cashflow Workings'!AK16-'Cashflow Workings'!AK41</f>
        <v>44897.119999949144</v>
      </c>
      <c r="AL23" s="45">
        <f>AK23+'Cashflow Workings'!AL16-'Cashflow Workings'!AL41</f>
        <v>44897.119999949144</v>
      </c>
      <c r="AM23" s="45">
        <f>AL23+'Cashflow Workings'!AM16-'Cashflow Workings'!AM41</f>
        <v>44897.119999949144</v>
      </c>
      <c r="AN23" s="45">
        <f>AM23+'Cashflow Workings'!AN16-'Cashflow Workings'!AN41</f>
        <v>44897.119999949144</v>
      </c>
      <c r="AO23" s="45">
        <f>AN23+'Cashflow Workings'!AO16-'Cashflow Workings'!AO41</f>
        <v>44897.119999949144</v>
      </c>
      <c r="AP23" s="45">
        <f>AO23+'Cashflow Workings'!AP16-'Cashflow Workings'!AP41</f>
        <v>44897.119999949144</v>
      </c>
      <c r="AQ23" s="45">
        <f>AP23+'Cashflow Workings'!AQ16-'Cashflow Workings'!AQ41</f>
        <v>44897.119999949144</v>
      </c>
      <c r="AR23" s="45">
        <f>AQ23+'Cashflow Workings'!AR16-'Cashflow Workings'!AR41</f>
        <v>44897.119999949144</v>
      </c>
      <c r="AS23" s="45">
        <f>AR23+'Cashflow Workings'!AS16-'Cashflow Workings'!AS41</f>
        <v>44897.119999949144</v>
      </c>
      <c r="AT23" s="45">
        <f>AS23+'Cashflow Workings'!AT16-'Cashflow Workings'!AT41</f>
        <v>44897.119999949144</v>
      </c>
      <c r="AU23" s="45">
        <f>AT23+'Cashflow Workings'!AU16-'Cashflow Workings'!AU41</f>
        <v>44897.119999949144</v>
      </c>
      <c r="AV23" s="45">
        <f>AU23+'Cashflow Workings'!AV16-'Cashflow Workings'!AV41</f>
        <v>44897.119999949144</v>
      </c>
      <c r="AW23" s="45">
        <f>AV23+'Cashflow Workings'!AW16-'Cashflow Workings'!AW41</f>
        <v>44897.119999949144</v>
      </c>
      <c r="AX23" s="45">
        <f>AW23+'Cashflow Workings'!AX16-'Cashflow Workings'!AX41</f>
        <v>44897.119999949144</v>
      </c>
      <c r="AY23" s="45">
        <f>AX23+'Cashflow Workings'!AY16-'Cashflow Workings'!AY41</f>
        <v>44897.119999949144</v>
      </c>
      <c r="AZ23" s="45">
        <f>AY23+'Cashflow Workings'!AZ16-'Cashflow Workings'!AZ41</f>
        <v>44897.119999949144</v>
      </c>
      <c r="BA23" s="45">
        <f>AZ23+'Cashflow Workings'!BA16-'Cashflow Workings'!BA41</f>
        <v>44897.119999949144</v>
      </c>
    </row>
    <row r="24" spans="1:53" ht="12.75" customHeight="1" x14ac:dyDescent="0.25">
      <c r="B24" s="61"/>
      <c r="C24" s="72">
        <f t="shared" ref="C24:AH24" si="8">SUM(C21:C23)</f>
        <v>0</v>
      </c>
      <c r="D24" s="72">
        <f t="shared" si="8"/>
        <v>0</v>
      </c>
      <c r="E24" s="72" t="e">
        <f t="shared" si="8"/>
        <v>#REF!</v>
      </c>
      <c r="F24" s="72" t="e">
        <f t="shared" si="8"/>
        <v>#REF!</v>
      </c>
      <c r="G24" s="72" t="e">
        <f t="shared" si="8"/>
        <v>#REF!</v>
      </c>
      <c r="H24" s="72" t="e">
        <f t="shared" si="8"/>
        <v>#REF!</v>
      </c>
      <c r="I24" s="72" t="e">
        <f t="shared" si="8"/>
        <v>#REF!</v>
      </c>
      <c r="J24" s="72" t="e">
        <f t="shared" si="8"/>
        <v>#REF!</v>
      </c>
      <c r="K24" s="72" t="e">
        <f t="shared" si="8"/>
        <v>#REF!</v>
      </c>
      <c r="L24" s="72" t="e">
        <f t="shared" si="8"/>
        <v>#REF!</v>
      </c>
      <c r="M24" s="72" t="e">
        <f t="shared" si="8"/>
        <v>#REF!</v>
      </c>
      <c r="N24" s="72" t="e">
        <f t="shared" si="8"/>
        <v>#REF!</v>
      </c>
      <c r="O24" s="72" t="e">
        <f t="shared" si="8"/>
        <v>#REF!</v>
      </c>
      <c r="P24" s="72" t="e">
        <f t="shared" si="8"/>
        <v>#REF!</v>
      </c>
      <c r="Q24" s="72" t="e">
        <f t="shared" si="8"/>
        <v>#REF!</v>
      </c>
      <c r="R24" s="28">
        <f t="shared" si="8"/>
        <v>1346748.2633925197</v>
      </c>
      <c r="S24" s="28">
        <f t="shared" si="8"/>
        <v>1417985.2889277805</v>
      </c>
      <c r="T24" s="28">
        <f t="shared" si="8"/>
        <v>1527398.7575208463</v>
      </c>
      <c r="U24" s="28">
        <f t="shared" si="8"/>
        <v>1293438.9427162651</v>
      </c>
      <c r="V24" s="28">
        <f t="shared" si="8"/>
        <v>1468045.1622283091</v>
      </c>
      <c r="W24" s="28">
        <f t="shared" si="8"/>
        <v>1523547.6660725707</v>
      </c>
      <c r="X24" s="28">
        <f t="shared" si="8"/>
        <v>1148420.0273609506</v>
      </c>
      <c r="Y24" s="28">
        <f t="shared" si="8"/>
        <v>1189095.5952760936</v>
      </c>
      <c r="Z24" s="28">
        <f t="shared" si="8"/>
        <v>1088330.6720504938</v>
      </c>
      <c r="AA24" s="28">
        <f t="shared" si="8"/>
        <v>609921.23889215617</v>
      </c>
      <c r="AB24" s="28">
        <f t="shared" si="8"/>
        <v>635276.03781348094</v>
      </c>
      <c r="AC24" s="28">
        <f t="shared" si="8"/>
        <v>701798.25503157964</v>
      </c>
      <c r="AD24" s="72">
        <f t="shared" si="8"/>
        <v>636764.26334803388</v>
      </c>
      <c r="AE24" s="72">
        <f t="shared" si="8"/>
        <v>871461.3516910132</v>
      </c>
      <c r="AF24" s="72">
        <f t="shared" si="8"/>
        <v>1131583.0869171652</v>
      </c>
      <c r="AG24" s="72">
        <f t="shared" si="8"/>
        <v>1030311.8681924263</v>
      </c>
      <c r="AH24" s="72">
        <f t="shared" si="8"/>
        <v>1357985.3949948989</v>
      </c>
      <c r="AI24" s="72">
        <f t="shared" ref="AI24:BA24" si="9">SUM(AI21:AI23)</f>
        <v>1562538.0853437192</v>
      </c>
      <c r="AJ24" s="72">
        <f t="shared" si="9"/>
        <v>1380420.4142798455</v>
      </c>
      <c r="AK24" s="72">
        <f t="shared" si="9"/>
        <v>1569761.0760832233</v>
      </c>
      <c r="AL24" s="72">
        <f t="shared" si="9"/>
        <v>1804465.4558683506</v>
      </c>
      <c r="AM24" s="72">
        <f t="shared" si="9"/>
        <v>1520848.8169043448</v>
      </c>
      <c r="AN24" s="72">
        <f t="shared" si="9"/>
        <v>1679764.2813100931</v>
      </c>
      <c r="AO24" s="72">
        <f t="shared" si="9"/>
        <v>1899536.9224000515</v>
      </c>
      <c r="AP24" s="72">
        <f t="shared" si="9"/>
        <v>1927180.9163795463</v>
      </c>
      <c r="AQ24" s="72">
        <f t="shared" si="9"/>
        <v>2190603.7534151538</v>
      </c>
      <c r="AR24" s="72">
        <f t="shared" si="9"/>
        <v>2478524.7873557229</v>
      </c>
      <c r="AS24" s="72">
        <f t="shared" si="9"/>
        <v>2459680.9401779026</v>
      </c>
      <c r="AT24" s="72">
        <f t="shared" si="9"/>
        <v>2816079.6256817328</v>
      </c>
      <c r="AU24" s="72">
        <f t="shared" si="9"/>
        <v>3051484.453336888</v>
      </c>
      <c r="AV24" s="72">
        <f t="shared" si="9"/>
        <v>2952469.0879321876</v>
      </c>
      <c r="AW24" s="72">
        <f t="shared" si="9"/>
        <v>3168681.8474562881</v>
      </c>
      <c r="AX24" s="72">
        <f t="shared" si="9"/>
        <v>3432110.6441667923</v>
      </c>
      <c r="AY24" s="72">
        <f t="shared" si="9"/>
        <v>3217629.3209248516</v>
      </c>
      <c r="AZ24" s="72">
        <f t="shared" si="9"/>
        <v>3401563.8496548324</v>
      </c>
      <c r="BA24" s="72">
        <f t="shared" si="9"/>
        <v>3650060.3831636198</v>
      </c>
    </row>
    <row r="25" spans="1:53" ht="12.75" customHeight="1" x14ac:dyDescent="0.25">
      <c r="B25" s="61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</row>
    <row r="26" spans="1:53" ht="12.75" customHeight="1" x14ac:dyDescent="0.25">
      <c r="B26" s="61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</row>
    <row r="27" spans="1:53" ht="12.75" customHeight="1" x14ac:dyDescent="0.35">
      <c r="A27" s="26" t="s">
        <v>210</v>
      </c>
      <c r="B27" s="61"/>
      <c r="C27" s="45">
        <f t="shared" ref="C27:AH27" si="10">C18-C24</f>
        <v>0</v>
      </c>
      <c r="D27" s="45">
        <f t="shared" si="10"/>
        <v>0</v>
      </c>
      <c r="E27" s="45" t="e">
        <f t="shared" si="10"/>
        <v>#REF!</v>
      </c>
      <c r="F27" s="45" t="e">
        <f t="shared" si="10"/>
        <v>#REF!</v>
      </c>
      <c r="G27" s="45" t="e">
        <f t="shared" si="10"/>
        <v>#REF!</v>
      </c>
      <c r="H27" s="45" t="e">
        <f t="shared" si="10"/>
        <v>#REF!</v>
      </c>
      <c r="I27" s="45" t="e">
        <f t="shared" si="10"/>
        <v>#REF!</v>
      </c>
      <c r="J27" s="45" t="e">
        <f t="shared" si="10"/>
        <v>#REF!</v>
      </c>
      <c r="K27" s="45" t="e">
        <f t="shared" si="10"/>
        <v>#REF!</v>
      </c>
      <c r="L27" s="45" t="e">
        <f t="shared" si="10"/>
        <v>#REF!</v>
      </c>
      <c r="M27" s="45" t="e">
        <f t="shared" si="10"/>
        <v>#REF!</v>
      </c>
      <c r="N27" s="45" t="e">
        <f t="shared" si="10"/>
        <v>#REF!</v>
      </c>
      <c r="O27" s="45" t="e">
        <f t="shared" si="10"/>
        <v>#REF!</v>
      </c>
      <c r="P27" s="45" t="e">
        <f t="shared" si="10"/>
        <v>#REF!</v>
      </c>
      <c r="Q27" s="45" t="e">
        <f t="shared" si="10"/>
        <v>#REF!</v>
      </c>
      <c r="R27" s="25">
        <f t="shared" si="10"/>
        <v>43397.772040492389</v>
      </c>
      <c r="S27" s="25">
        <f t="shared" si="10"/>
        <v>136584.56279283739</v>
      </c>
      <c r="T27" s="25">
        <f t="shared" si="10"/>
        <v>290554.76173737738</v>
      </c>
      <c r="U27" s="25">
        <f t="shared" si="10"/>
        <v>539033.2105795641</v>
      </c>
      <c r="V27" s="25">
        <f t="shared" si="10"/>
        <v>787975.70760512585</v>
      </c>
      <c r="W27" s="25">
        <f t="shared" si="10"/>
        <v>865941.93879846996</v>
      </c>
      <c r="X27" s="25">
        <f t="shared" si="10"/>
        <v>961449.05896168528</v>
      </c>
      <c r="Y27" s="25">
        <f t="shared" si="10"/>
        <v>1023287.1448341478</v>
      </c>
      <c r="Z27" s="25">
        <f t="shared" si="10"/>
        <v>1140202.0092127379</v>
      </c>
      <c r="AA27" s="25">
        <f t="shared" si="10"/>
        <v>1015214.2550726705</v>
      </c>
      <c r="AB27" s="25">
        <f t="shared" si="10"/>
        <v>1061418.0286889512</v>
      </c>
      <c r="AC27" s="25">
        <f t="shared" si="10"/>
        <v>1159319.6277584583</v>
      </c>
      <c r="AD27" s="45">
        <f t="shared" si="10"/>
        <v>1300993.7275226598</v>
      </c>
      <c r="AE27" s="45">
        <f t="shared" si="10"/>
        <v>1482148.3938463475</v>
      </c>
      <c r="AF27" s="45">
        <f t="shared" si="10"/>
        <v>1704158.0952868625</v>
      </c>
      <c r="AG27" s="45">
        <f t="shared" si="10"/>
        <v>2022323.7390922573</v>
      </c>
      <c r="AH27" s="45">
        <f t="shared" si="10"/>
        <v>2340488.3242064519</v>
      </c>
      <c r="AI27" s="45">
        <f t="shared" ref="AI27:BA27" si="11">AI18-AI24</f>
        <v>2480598.9442742979</v>
      </c>
      <c r="AJ27" s="45">
        <f t="shared" si="11"/>
        <v>2639739.4161465694</v>
      </c>
      <c r="AK27" s="45">
        <f t="shared" si="11"/>
        <v>2760817.1303848587</v>
      </c>
      <c r="AL27" s="45">
        <f t="shared" si="11"/>
        <v>2941964.5052663982</v>
      </c>
      <c r="AM27" s="45">
        <f t="shared" si="11"/>
        <v>2872731.5012888014</v>
      </c>
      <c r="AN27" s="45">
        <f t="shared" si="11"/>
        <v>2955744.5441747191</v>
      </c>
      <c r="AO27" s="45">
        <f t="shared" si="11"/>
        <v>3114880.1478764275</v>
      </c>
      <c r="AP27" s="45">
        <f t="shared" si="11"/>
        <v>3316716.0160803297</v>
      </c>
      <c r="AQ27" s="45">
        <f t="shared" si="11"/>
        <v>3540173.6837113895</v>
      </c>
      <c r="AR27" s="45">
        <f t="shared" si="11"/>
        <v>3803121.586437488</v>
      </c>
      <c r="AS27" s="45">
        <f t="shared" si="11"/>
        <v>4163590.6281737061</v>
      </c>
      <c r="AT27" s="45">
        <f t="shared" si="11"/>
        <v>4524058.8045865428</v>
      </c>
      <c r="AU27" s="45">
        <f t="shared" si="11"/>
        <v>4709607.9810980549</v>
      </c>
      <c r="AV27" s="45">
        <f t="shared" si="11"/>
        <v>4915702.18888993</v>
      </c>
      <c r="AW27" s="45">
        <f t="shared" si="11"/>
        <v>5076354.0554074962</v>
      </c>
      <c r="AX27" s="45">
        <f t="shared" si="11"/>
        <v>5299805.7633636594</v>
      </c>
      <c r="AY27" s="45">
        <f t="shared" si="11"/>
        <v>5256497.2702427749</v>
      </c>
      <c r="AZ27" s="45">
        <f t="shared" si="11"/>
        <v>5376354.9988044612</v>
      </c>
      <c r="BA27" s="45">
        <f t="shared" si="11"/>
        <v>5577795.4600873403</v>
      </c>
    </row>
    <row r="28" spans="1:53" ht="12.75" customHeight="1" x14ac:dyDescent="0.25">
      <c r="B28" s="61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</row>
    <row r="29" spans="1:53" ht="12.75" customHeight="1" x14ac:dyDescent="0.25">
      <c r="B29" s="61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</row>
    <row r="30" spans="1:53" ht="15" customHeight="1" x14ac:dyDescent="0.35">
      <c r="A30" s="26" t="s">
        <v>211</v>
      </c>
      <c r="B30" s="61"/>
      <c r="C30" s="73">
        <f t="shared" ref="C30:AH30" si="12">C27+C12</f>
        <v>0</v>
      </c>
      <c r="D30" s="73">
        <f t="shared" si="12"/>
        <v>0</v>
      </c>
      <c r="E30" s="73" t="e">
        <f t="shared" si="12"/>
        <v>#REF!</v>
      </c>
      <c r="F30" s="73" t="e">
        <f t="shared" si="12"/>
        <v>#REF!</v>
      </c>
      <c r="G30" s="73" t="e">
        <f t="shared" si="12"/>
        <v>#REF!</v>
      </c>
      <c r="H30" s="73" t="e">
        <f t="shared" si="12"/>
        <v>#REF!</v>
      </c>
      <c r="I30" s="73" t="e">
        <f t="shared" si="12"/>
        <v>#REF!</v>
      </c>
      <c r="J30" s="73" t="e">
        <f t="shared" si="12"/>
        <v>#REF!</v>
      </c>
      <c r="K30" s="73" t="e">
        <f t="shared" si="12"/>
        <v>#REF!</v>
      </c>
      <c r="L30" s="73" t="e">
        <f t="shared" si="12"/>
        <v>#REF!</v>
      </c>
      <c r="M30" s="73" t="e">
        <f t="shared" si="12"/>
        <v>#REF!</v>
      </c>
      <c r="N30" s="73" t="e">
        <f t="shared" si="12"/>
        <v>#REF!</v>
      </c>
      <c r="O30" s="73" t="e">
        <f t="shared" si="12"/>
        <v>#REF!</v>
      </c>
      <c r="P30" s="73" t="e">
        <f t="shared" si="12"/>
        <v>#REF!</v>
      </c>
      <c r="Q30" s="73" t="e">
        <f t="shared" si="12"/>
        <v>#REF!</v>
      </c>
      <c r="R30" s="47">
        <f t="shared" si="12"/>
        <v>59472.361575709394</v>
      </c>
      <c r="S30" s="47">
        <f t="shared" si="12"/>
        <v>152391.24250246744</v>
      </c>
      <c r="T30" s="47">
        <f t="shared" si="12"/>
        <v>306097.99678518029</v>
      </c>
      <c r="U30" s="47">
        <f t="shared" si="12"/>
        <v>554317.3917099036</v>
      </c>
      <c r="V30" s="47">
        <f t="shared" si="12"/>
        <v>803005.15238329303</v>
      </c>
      <c r="W30" s="47">
        <f t="shared" si="12"/>
        <v>880720.89283033437</v>
      </c>
      <c r="X30" s="47">
        <f t="shared" si="12"/>
        <v>975981.69709301856</v>
      </c>
      <c r="Y30" s="47">
        <f t="shared" si="12"/>
        <v>1037577.5723299589</v>
      </c>
      <c r="Z30" s="47">
        <f t="shared" si="12"/>
        <v>1154254.2629169521</v>
      </c>
      <c r="AA30" s="47">
        <f t="shared" si="12"/>
        <v>1029032.3045484812</v>
      </c>
      <c r="AB30" s="47">
        <f t="shared" si="12"/>
        <v>1075005.7773401651</v>
      </c>
      <c r="AC30" s="47">
        <f t="shared" si="12"/>
        <v>1172680.9139321519</v>
      </c>
      <c r="AD30" s="73">
        <f t="shared" si="12"/>
        <v>1314132.3255934585</v>
      </c>
      <c r="AE30" s="73">
        <f t="shared" si="12"/>
        <v>1495068.0152826328</v>
      </c>
      <c r="AF30" s="73">
        <f t="shared" si="12"/>
        <v>1716862.3896992097</v>
      </c>
      <c r="AG30" s="73">
        <f t="shared" si="12"/>
        <v>2034816.2952643989</v>
      </c>
      <c r="AH30" s="73">
        <f t="shared" si="12"/>
        <v>2352772.6711090575</v>
      </c>
      <c r="AI30" s="73">
        <f t="shared" ref="AI30:BA30" si="13">AI27+AI12</f>
        <v>2492678.5520618604</v>
      </c>
      <c r="AJ30" s="73">
        <f t="shared" si="13"/>
        <v>2651617.6971376725</v>
      </c>
      <c r="AK30" s="73">
        <f t="shared" si="13"/>
        <v>2772497.44002611</v>
      </c>
      <c r="AL30" s="73">
        <f t="shared" si="13"/>
        <v>2953450.1430802955</v>
      </c>
      <c r="AM30" s="73">
        <f t="shared" si="13"/>
        <v>2884025.7118058004</v>
      </c>
      <c r="AN30" s="73">
        <f t="shared" si="13"/>
        <v>2966850.517849768</v>
      </c>
      <c r="AO30" s="73">
        <f t="shared" si="13"/>
        <v>3125801.0219902257</v>
      </c>
      <c r="AP30" s="73">
        <f t="shared" si="13"/>
        <v>3327454.8756255643</v>
      </c>
      <c r="AQ30" s="73">
        <f t="shared" si="13"/>
        <v>3550733.5622642036</v>
      </c>
      <c r="AR30" s="73">
        <f t="shared" si="13"/>
        <v>3813505.4670144217</v>
      </c>
      <c r="AS30" s="73">
        <f t="shared" si="13"/>
        <v>4173801.4440743579</v>
      </c>
      <c r="AT30" s="73">
        <f t="shared" si="13"/>
        <v>4534099.4402221832</v>
      </c>
      <c r="AU30" s="73">
        <f t="shared" si="13"/>
        <v>4719481.2728064349</v>
      </c>
      <c r="AV30" s="73">
        <f t="shared" si="13"/>
        <v>4925410.9257365037</v>
      </c>
      <c r="AW30" s="73">
        <f t="shared" si="13"/>
        <v>5085900.9799732938</v>
      </c>
      <c r="AX30" s="73">
        <f t="shared" si="13"/>
        <v>5309193.5725200269</v>
      </c>
      <c r="AY30" s="73">
        <f t="shared" si="13"/>
        <v>5265728.615913203</v>
      </c>
      <c r="AZ30" s="73">
        <f t="shared" si="13"/>
        <v>5385432.4887137152</v>
      </c>
      <c r="BA30" s="73">
        <f t="shared" si="13"/>
        <v>5586721.6584981075</v>
      </c>
    </row>
    <row r="31" spans="1:53" ht="12.75" customHeight="1" x14ac:dyDescent="0.25">
      <c r="B31" s="61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</row>
    <row r="32" spans="1:53" ht="12.75" customHeight="1" x14ac:dyDescent="0.25"/>
    <row r="33" spans="1:53" ht="12.75" customHeight="1" x14ac:dyDescent="0.35">
      <c r="B33" s="27" t="s">
        <v>212</v>
      </c>
      <c r="C33" s="25">
        <f>'Cashflow Workings'!C8</f>
        <v>0</v>
      </c>
      <c r="D33" s="25">
        <f>C33+'Cashflow Workings'!D8</f>
        <v>0</v>
      </c>
      <c r="E33" s="25" t="e">
        <f>D33+'Cashflow Workings'!#REF!</f>
        <v>#REF!</v>
      </c>
      <c r="F33" s="25" t="e">
        <f>E33+'Cashflow Workings'!E8</f>
        <v>#REF!</v>
      </c>
      <c r="G33" s="25" t="e">
        <f>F33+'Cashflow Workings'!G8</f>
        <v>#REF!</v>
      </c>
      <c r="H33" s="25" t="e">
        <f>G33+'Cashflow Workings'!H8</f>
        <v>#REF!</v>
      </c>
      <c r="I33" s="25" t="e">
        <f>H33+'Cashflow Workings'!I8</f>
        <v>#REF!</v>
      </c>
      <c r="J33" s="25" t="e">
        <f>I33+'Cashflow Workings'!J8</f>
        <v>#REF!</v>
      </c>
      <c r="K33" s="25" t="e">
        <f>J33+'Cashflow Workings'!K8</f>
        <v>#REF!</v>
      </c>
      <c r="L33" s="25" t="e">
        <f>K33+'Cashflow Workings'!L8</f>
        <v>#REF!</v>
      </c>
      <c r="M33" s="25" t="e">
        <f>L33+'Cashflow Workings'!M8</f>
        <v>#REF!</v>
      </c>
      <c r="N33" s="25" t="e">
        <f>M33+'Cashflow Workings'!N8</f>
        <v>#REF!</v>
      </c>
      <c r="O33" s="25" t="e">
        <f>N33+'Cashflow Workings'!O8</f>
        <v>#REF!</v>
      </c>
      <c r="P33" s="25" t="e">
        <f>O33+'Cashflow Workings'!P8</f>
        <v>#REF!</v>
      </c>
      <c r="Q33" s="25" t="e">
        <f>P33+'Cashflow Workings'!Q8</f>
        <v>#REF!</v>
      </c>
      <c r="R33" s="25" t="e">
        <f>Q33+'Cashflow Workings'!R8</f>
        <v>#REF!</v>
      </c>
      <c r="S33" s="25" t="e">
        <f>R33+'Cashflow Workings'!S8</f>
        <v>#REF!</v>
      </c>
      <c r="T33" s="25" t="e">
        <f>S33+'Cashflow Workings'!T8</f>
        <v>#REF!</v>
      </c>
      <c r="U33" s="25" t="e">
        <f>T33+'Cashflow Workings'!U8</f>
        <v>#REF!</v>
      </c>
      <c r="V33" s="25" t="e">
        <f>U33+'Cashflow Workings'!V8</f>
        <v>#REF!</v>
      </c>
      <c r="W33" s="25" t="e">
        <f>V33+'Cashflow Workings'!W8</f>
        <v>#REF!</v>
      </c>
      <c r="X33" s="25" t="e">
        <f>W33+'Cashflow Workings'!X8</f>
        <v>#REF!</v>
      </c>
      <c r="Y33" s="25" t="e">
        <f>X33+'Cashflow Workings'!Y8</f>
        <v>#REF!</v>
      </c>
      <c r="Z33" s="25" t="e">
        <f>Y33+'Cashflow Workings'!Z8</f>
        <v>#REF!</v>
      </c>
      <c r="AA33" s="25" t="e">
        <f>Z33+'Cashflow Workings'!AA8</f>
        <v>#REF!</v>
      </c>
      <c r="AB33" s="25" t="e">
        <f>AA33+'Cashflow Workings'!AB8</f>
        <v>#REF!</v>
      </c>
      <c r="AC33" s="25" t="e">
        <f>AB33+'Cashflow Workings'!AC8</f>
        <v>#REF!</v>
      </c>
      <c r="AD33" s="25" t="e">
        <f>AC33+'Cashflow Workings'!AD8</f>
        <v>#REF!</v>
      </c>
      <c r="AE33" s="25" t="e">
        <f>AD33+'Cashflow Workings'!AE8</f>
        <v>#REF!</v>
      </c>
      <c r="AF33" s="25" t="e">
        <f>AE33+'Cashflow Workings'!AF8</f>
        <v>#REF!</v>
      </c>
      <c r="AG33" s="25" t="e">
        <f>AF33+'Cashflow Workings'!AG8</f>
        <v>#REF!</v>
      </c>
      <c r="AH33" s="25" t="e">
        <f>AG33+'Cashflow Workings'!AH8</f>
        <v>#REF!</v>
      </c>
      <c r="AI33" s="25" t="e">
        <f>AH33+'Cashflow Workings'!AI8</f>
        <v>#REF!</v>
      </c>
      <c r="AJ33" s="25" t="e">
        <f>AI33+'Cashflow Workings'!AJ8</f>
        <v>#REF!</v>
      </c>
      <c r="AK33" s="25" t="e">
        <f>AJ33+'Cashflow Workings'!AK8</f>
        <v>#REF!</v>
      </c>
      <c r="AL33" s="25" t="e">
        <f>AK33+'Cashflow Workings'!AL8</f>
        <v>#REF!</v>
      </c>
      <c r="AM33" s="25" t="e">
        <f>AL33+'Cashflow Workings'!AM8</f>
        <v>#REF!</v>
      </c>
      <c r="AN33" s="25" t="e">
        <f>AM33+'Cashflow Workings'!AN8</f>
        <v>#REF!</v>
      </c>
      <c r="AO33" s="25" t="e">
        <f>AN33+'Cashflow Workings'!AO8</f>
        <v>#REF!</v>
      </c>
      <c r="AP33" s="25" t="e">
        <f>AO33+'Cashflow Workings'!AP8</f>
        <v>#REF!</v>
      </c>
      <c r="AQ33" s="25" t="e">
        <f>AP33+'Cashflow Workings'!AQ8</f>
        <v>#REF!</v>
      </c>
      <c r="AR33" s="25" t="e">
        <f>AQ33+'Cashflow Workings'!AR8</f>
        <v>#REF!</v>
      </c>
      <c r="AS33" s="25" t="e">
        <f>AR33+'Cashflow Workings'!AS8</f>
        <v>#REF!</v>
      </c>
      <c r="AT33" s="25" t="e">
        <f>AS33+'Cashflow Workings'!AT8</f>
        <v>#REF!</v>
      </c>
      <c r="AU33" s="25" t="e">
        <f>AT33+'Cashflow Workings'!AU8</f>
        <v>#REF!</v>
      </c>
      <c r="AV33" s="25" t="e">
        <f>AU33+'Cashflow Workings'!AV8</f>
        <v>#REF!</v>
      </c>
      <c r="AW33" s="25" t="e">
        <f>AV33+'Cashflow Workings'!AW8</f>
        <v>#REF!</v>
      </c>
      <c r="AX33" s="25" t="e">
        <f>AW33+'Cashflow Workings'!AX8</f>
        <v>#REF!</v>
      </c>
      <c r="AY33" s="25" t="e">
        <f>AX33+'Cashflow Workings'!AY8</f>
        <v>#REF!</v>
      </c>
      <c r="AZ33" s="25" t="e">
        <f>AY33+'Cashflow Workings'!AZ8</f>
        <v>#REF!</v>
      </c>
      <c r="BA33" s="25" t="e">
        <f>AZ33+'Cashflow Workings'!BA8</f>
        <v>#REF!</v>
      </c>
    </row>
    <row r="34" spans="1:53" ht="12.75" customHeight="1" x14ac:dyDescent="0.25"/>
    <row r="35" spans="1:53" ht="12.75" customHeight="1" x14ac:dyDescent="0.35">
      <c r="B35" s="71" t="s">
        <v>213</v>
      </c>
      <c r="C35" s="25">
        <f>P_L!C80</f>
        <v>0</v>
      </c>
      <c r="D35" s="25">
        <f>C35+P_L!D80</f>
        <v>0</v>
      </c>
      <c r="E35" s="25">
        <f>D35+P_L!E80</f>
        <v>-426103.36856410257</v>
      </c>
      <c r="F35" s="25">
        <f>E35+P_L!F80</f>
        <v>-437937.23956410389</v>
      </c>
      <c r="G35" s="25">
        <f>F35+P_L!G80</f>
        <v>-414061.39600558463</v>
      </c>
      <c r="H35" s="25">
        <f>G35+P_L!H80</f>
        <v>-334874.75180542917</v>
      </c>
      <c r="I35" s="25">
        <f>H35+P_L!I80</f>
        <v>-175912.42474465817</v>
      </c>
      <c r="J35" s="25">
        <f>I35+P_L!J80</f>
        <v>-16514.579882964725</v>
      </c>
      <c r="K35" s="25">
        <f>J35+P_L!K80</f>
        <v>-5917.8694722990967</v>
      </c>
      <c r="L35" s="25">
        <f>K35+P_L!L80</f>
        <v>20135.652130491704</v>
      </c>
      <c r="M35" s="25">
        <f>L35+P_L!M80</f>
        <v>16600.655051970713</v>
      </c>
      <c r="N35" s="25">
        <f>M35+P_L!N80</f>
        <v>66234.699891360913</v>
      </c>
      <c r="O35" s="25">
        <f>N35+P_L!O80</f>
        <v>-86565.248789260717</v>
      </c>
      <c r="P35" s="25">
        <f>O35+P_L!P80</f>
        <v>-118785.57797382656</v>
      </c>
      <c r="Q35" s="25">
        <f>P35+P_L!Q80</f>
        <v>-90487.545700199276</v>
      </c>
      <c r="R35" s="25">
        <f>Q35+P_L!R80</f>
        <v>-32170.49556714925</v>
      </c>
      <c r="S35" s="25">
        <f>R35+P_L!S80</f>
        <v>60748.385359608626</v>
      </c>
      <c r="T35" s="25">
        <f>S35+P_L!T80</f>
        <v>214455.13964232121</v>
      </c>
      <c r="U35" s="25">
        <f>T35+P_L!U80</f>
        <v>462674.5345670447</v>
      </c>
      <c r="V35" s="25">
        <f>U35+P_L!V80</f>
        <v>711362.29524043389</v>
      </c>
      <c r="W35" s="25">
        <f>V35+P_L!W80</f>
        <v>789078.03568747465</v>
      </c>
      <c r="X35" s="25">
        <f>W35+P_L!X80</f>
        <v>884338.83995015861</v>
      </c>
      <c r="Y35" s="25">
        <f>X35+P_L!Y80</f>
        <v>945934.71518709906</v>
      </c>
      <c r="Z35" s="25">
        <f>Y35+P_L!Z80</f>
        <v>1062611.4057740921</v>
      </c>
      <c r="AA35" s="25">
        <f>Z35+P_L!AA80</f>
        <v>937389.44740562083</v>
      </c>
      <c r="AB35" s="25">
        <f>AA35+P_L!AB80</f>
        <v>983362.92019730422</v>
      </c>
      <c r="AC35" s="25">
        <f>AB35+P_L!AC80</f>
        <v>1081038.0567892909</v>
      </c>
      <c r="AD35" s="25">
        <f>AC35+P_L!AD80</f>
        <v>1222489.4684505977</v>
      </c>
      <c r="AE35" s="25">
        <f>AD35+P_L!AE80</f>
        <v>1403425.1581397718</v>
      </c>
      <c r="AF35" s="25">
        <f>AE35+P_L!AF80</f>
        <v>1625219.5325563487</v>
      </c>
      <c r="AG35" s="25">
        <f>AF35+P_L!AG80</f>
        <v>1943173.4381215381</v>
      </c>
      <c r="AH35" s="25">
        <f>AG35+P_L!AH80</f>
        <v>2261129.8139661965</v>
      </c>
      <c r="AI35" s="25">
        <f>AH35+P_L!AI80</f>
        <v>2401035.6949189994</v>
      </c>
      <c r="AJ35" s="25">
        <f>AI35+P_L!AJ80</f>
        <v>2559974.8399948115</v>
      </c>
      <c r="AK35" s="25">
        <f>AJ35+P_L!AK80</f>
        <v>2680854.5828832486</v>
      </c>
      <c r="AL35" s="25">
        <f>AK35+P_L!AL80</f>
        <v>2861807.2859374341</v>
      </c>
      <c r="AM35" s="25">
        <f>AL35+P_L!AM80</f>
        <v>2792382.8546629385</v>
      </c>
      <c r="AN35" s="25">
        <f>AM35+P_L!AN80</f>
        <v>2875207.660706907</v>
      </c>
      <c r="AO35" s="25">
        <f>AN35+P_L!AO80</f>
        <v>3034158.1648473651</v>
      </c>
      <c r="AP35" s="25">
        <f>AO35+P_L!AP80</f>
        <v>3235812.0184827042</v>
      </c>
      <c r="AQ35" s="25">
        <f>AP35+P_L!AQ80</f>
        <v>3459090.705121343</v>
      </c>
      <c r="AR35" s="25">
        <f>AQ35+P_L!AR80</f>
        <v>3721862.6098715602</v>
      </c>
      <c r="AS35" s="25">
        <f>AR35+P_L!AS80</f>
        <v>4082158.5869314959</v>
      </c>
      <c r="AT35" s="25">
        <f>AS35+P_L!AT80</f>
        <v>4442456.5830793222</v>
      </c>
      <c r="AU35" s="25">
        <f>AT35+P_L!AU80</f>
        <v>4627838.415663573</v>
      </c>
      <c r="AV35" s="25">
        <f>AU35+P_L!AV80</f>
        <v>4833768.0685936417</v>
      </c>
      <c r="AW35" s="25">
        <f>AV35+P_L!AW80</f>
        <v>4994258.1228304319</v>
      </c>
      <c r="AX35" s="25">
        <f>AW35+P_L!AX80</f>
        <v>5217550.7153771641</v>
      </c>
      <c r="AY35" s="25">
        <f>AX35+P_L!AY80</f>
        <v>5174085.7587703401</v>
      </c>
      <c r="AZ35" s="25">
        <f>AY35+P_L!AZ80</f>
        <v>5293789.6315708524</v>
      </c>
      <c r="BA35" s="25">
        <f>AZ35+P_L!BA80</f>
        <v>5495078.8013552446</v>
      </c>
    </row>
    <row r="36" spans="1:53" ht="12.75" customHeight="1" x14ac:dyDescent="0.25"/>
    <row r="37" spans="1:53" ht="14.25" customHeight="1" x14ac:dyDescent="0.35">
      <c r="A37" s="26" t="s">
        <v>214</v>
      </c>
      <c r="C37" s="47">
        <f t="shared" ref="C37:AH37" si="14">SUM(C33:C35)</f>
        <v>0</v>
      </c>
      <c r="D37" s="47">
        <f t="shared" si="14"/>
        <v>0</v>
      </c>
      <c r="E37" s="47" t="e">
        <f t="shared" si="14"/>
        <v>#REF!</v>
      </c>
      <c r="F37" s="47" t="e">
        <f t="shared" si="14"/>
        <v>#REF!</v>
      </c>
      <c r="G37" s="47" t="e">
        <f t="shared" si="14"/>
        <v>#REF!</v>
      </c>
      <c r="H37" s="47" t="e">
        <f t="shared" si="14"/>
        <v>#REF!</v>
      </c>
      <c r="I37" s="47" t="e">
        <f t="shared" si="14"/>
        <v>#REF!</v>
      </c>
      <c r="J37" s="47" t="e">
        <f t="shared" si="14"/>
        <v>#REF!</v>
      </c>
      <c r="K37" s="47" t="e">
        <f t="shared" si="14"/>
        <v>#REF!</v>
      </c>
      <c r="L37" s="47" t="e">
        <f t="shared" si="14"/>
        <v>#REF!</v>
      </c>
      <c r="M37" s="47" t="e">
        <f t="shared" si="14"/>
        <v>#REF!</v>
      </c>
      <c r="N37" s="47" t="e">
        <f t="shared" si="14"/>
        <v>#REF!</v>
      </c>
      <c r="O37" s="47" t="e">
        <f t="shared" si="14"/>
        <v>#REF!</v>
      </c>
      <c r="P37" s="47" t="e">
        <f t="shared" si="14"/>
        <v>#REF!</v>
      </c>
      <c r="Q37" s="47" t="e">
        <f t="shared" si="14"/>
        <v>#REF!</v>
      </c>
      <c r="R37" s="47" t="e">
        <f t="shared" si="14"/>
        <v>#REF!</v>
      </c>
      <c r="S37" s="47" t="e">
        <f t="shared" si="14"/>
        <v>#REF!</v>
      </c>
      <c r="T37" s="47" t="e">
        <f t="shared" si="14"/>
        <v>#REF!</v>
      </c>
      <c r="U37" s="47" t="e">
        <f t="shared" si="14"/>
        <v>#REF!</v>
      </c>
      <c r="V37" s="47" t="e">
        <f t="shared" si="14"/>
        <v>#REF!</v>
      </c>
      <c r="W37" s="47" t="e">
        <f t="shared" si="14"/>
        <v>#REF!</v>
      </c>
      <c r="X37" s="47" t="e">
        <f t="shared" si="14"/>
        <v>#REF!</v>
      </c>
      <c r="Y37" s="47" t="e">
        <f t="shared" si="14"/>
        <v>#REF!</v>
      </c>
      <c r="Z37" s="47" t="e">
        <f t="shared" si="14"/>
        <v>#REF!</v>
      </c>
      <c r="AA37" s="47" t="e">
        <f t="shared" si="14"/>
        <v>#REF!</v>
      </c>
      <c r="AB37" s="47" t="e">
        <f t="shared" si="14"/>
        <v>#REF!</v>
      </c>
      <c r="AC37" s="47" t="e">
        <f t="shared" si="14"/>
        <v>#REF!</v>
      </c>
      <c r="AD37" s="47" t="e">
        <f t="shared" si="14"/>
        <v>#REF!</v>
      </c>
      <c r="AE37" s="47" t="e">
        <f t="shared" si="14"/>
        <v>#REF!</v>
      </c>
      <c r="AF37" s="47" t="e">
        <f t="shared" si="14"/>
        <v>#REF!</v>
      </c>
      <c r="AG37" s="47" t="e">
        <f t="shared" si="14"/>
        <v>#REF!</v>
      </c>
      <c r="AH37" s="47" t="e">
        <f t="shared" si="14"/>
        <v>#REF!</v>
      </c>
      <c r="AI37" s="47" t="e">
        <f t="shared" ref="AI37:BA37" si="15">SUM(AI33:AI35)</f>
        <v>#REF!</v>
      </c>
      <c r="AJ37" s="47" t="e">
        <f t="shared" si="15"/>
        <v>#REF!</v>
      </c>
      <c r="AK37" s="47" t="e">
        <f t="shared" si="15"/>
        <v>#REF!</v>
      </c>
      <c r="AL37" s="47" t="e">
        <f t="shared" si="15"/>
        <v>#REF!</v>
      </c>
      <c r="AM37" s="47" t="e">
        <f t="shared" si="15"/>
        <v>#REF!</v>
      </c>
      <c r="AN37" s="47" t="e">
        <f t="shared" si="15"/>
        <v>#REF!</v>
      </c>
      <c r="AO37" s="47" t="e">
        <f t="shared" si="15"/>
        <v>#REF!</v>
      </c>
      <c r="AP37" s="47" t="e">
        <f t="shared" si="15"/>
        <v>#REF!</v>
      </c>
      <c r="AQ37" s="47" t="e">
        <f t="shared" si="15"/>
        <v>#REF!</v>
      </c>
      <c r="AR37" s="47" t="e">
        <f t="shared" si="15"/>
        <v>#REF!</v>
      </c>
      <c r="AS37" s="47" t="e">
        <f t="shared" si="15"/>
        <v>#REF!</v>
      </c>
      <c r="AT37" s="47" t="e">
        <f t="shared" si="15"/>
        <v>#REF!</v>
      </c>
      <c r="AU37" s="47" t="e">
        <f t="shared" si="15"/>
        <v>#REF!</v>
      </c>
      <c r="AV37" s="47" t="e">
        <f t="shared" si="15"/>
        <v>#REF!</v>
      </c>
      <c r="AW37" s="47" t="e">
        <f t="shared" si="15"/>
        <v>#REF!</v>
      </c>
      <c r="AX37" s="47" t="e">
        <f t="shared" si="15"/>
        <v>#REF!</v>
      </c>
      <c r="AY37" s="47" t="e">
        <f t="shared" si="15"/>
        <v>#REF!</v>
      </c>
      <c r="AZ37" s="47" t="e">
        <f t="shared" si="15"/>
        <v>#REF!</v>
      </c>
      <c r="BA37" s="47" t="e">
        <f t="shared" si="15"/>
        <v>#REF!</v>
      </c>
    </row>
    <row r="38" spans="1:53" ht="12.75" customHeight="1" x14ac:dyDescent="0.25"/>
    <row r="39" spans="1:53" ht="12.75" customHeight="1" x14ac:dyDescent="0.25"/>
    <row r="40" spans="1:53" ht="12.75" customHeight="1" x14ac:dyDescent="0.25"/>
    <row r="41" spans="1:53" ht="12.75" customHeight="1" x14ac:dyDescent="0.25"/>
    <row r="42" spans="1:53" ht="12.75" customHeight="1" x14ac:dyDescent="0.25"/>
    <row r="43" spans="1:53" ht="12.75" customHeight="1" x14ac:dyDescent="0.25"/>
    <row r="44" spans="1:53" ht="12.75" customHeight="1" x14ac:dyDescent="0.25"/>
    <row r="45" spans="1:53" ht="12.75" customHeight="1" x14ac:dyDescent="0.25"/>
    <row r="46" spans="1:53" ht="12.75" customHeight="1" x14ac:dyDescent="0.25"/>
    <row r="47" spans="1:53" ht="12.75" customHeight="1" x14ac:dyDescent="0.25"/>
    <row r="48" spans="1:5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scale="64" firstPageNumber="0" orientation="landscape" horizontalDpi="300" verticalDpi="3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9"/>
  <sheetViews>
    <sheetView zoomScaleSheetLayoutView="75" workbookViewId="0">
      <selection activeCell="A2" sqref="A2"/>
    </sheetView>
  </sheetViews>
  <sheetFormatPr defaultColWidth="9.08984375" defaultRowHeight="12.5" x14ac:dyDescent="0.25"/>
  <cols>
    <col min="1" max="1" width="2.453125" style="1" customWidth="1"/>
    <col min="2" max="2" width="30" style="1" customWidth="1"/>
    <col min="3" max="29" width="0" style="25" hidden="1" customWidth="1"/>
    <col min="30" max="30" width="13.08984375" style="25" customWidth="1"/>
    <col min="31" max="31" width="15.26953125" style="25" customWidth="1"/>
    <col min="32" max="32" width="15.453125" style="25" customWidth="1"/>
    <col min="33" max="33" width="14.81640625" style="25" customWidth="1"/>
    <col min="34" max="34" width="15.54296875" style="25" customWidth="1"/>
    <col min="35" max="35" width="15.453125" style="25" customWidth="1"/>
    <col min="36" max="36" width="14" style="25" customWidth="1"/>
    <col min="37" max="37" width="14.7265625" style="25" customWidth="1"/>
    <col min="38" max="38" width="15.08984375" style="25" customWidth="1"/>
    <col min="39" max="39" width="15.81640625" style="25" customWidth="1"/>
    <col min="40" max="40" width="14" style="25" customWidth="1"/>
    <col min="41" max="41" width="14.81640625" style="25" customWidth="1"/>
    <col min="42" max="53" width="0" style="25" hidden="1" customWidth="1"/>
    <col min="54" max="16384" width="9.08984375" style="1"/>
  </cols>
  <sheetData>
    <row r="1" spans="1:53" ht="15.5" x14ac:dyDescent="0.35">
      <c r="A1" s="26" t="s">
        <v>240</v>
      </c>
      <c r="B1" s="27"/>
    </row>
    <row r="2" spans="1:53" ht="15.5" x14ac:dyDescent="0.35">
      <c r="A2" s="26" t="s">
        <v>197</v>
      </c>
      <c r="B2" s="27"/>
    </row>
    <row r="3" spans="1:53" ht="15.5" x14ac:dyDescent="0.35">
      <c r="A3" s="26" t="s">
        <v>78</v>
      </c>
      <c r="B3" s="27"/>
      <c r="E3" s="60"/>
    </row>
    <row r="5" spans="1:53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</row>
    <row r="6" spans="1:53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</row>
    <row r="7" spans="1:53" ht="15.5" x14ac:dyDescent="0.35">
      <c r="A7" s="26" t="s">
        <v>199</v>
      </c>
    </row>
    <row r="8" spans="1:53" x14ac:dyDescent="0.25">
      <c r="B8" s="34" t="s">
        <v>200</v>
      </c>
      <c r="D8" s="25">
        <f t="shared" ref="D8:AC8" si="0">C12</f>
        <v>19666.666666666668</v>
      </c>
      <c r="E8" s="25">
        <f t="shared" si="0"/>
        <v>19338.888888888891</v>
      </c>
      <c r="F8" s="25">
        <f t="shared" si="0"/>
        <v>19016.574074074077</v>
      </c>
      <c r="G8" s="25">
        <f t="shared" si="0"/>
        <v>18699.631172839509</v>
      </c>
      <c r="H8" s="25">
        <f t="shared" si="0"/>
        <v>18387.970653292185</v>
      </c>
      <c r="I8" s="25">
        <f t="shared" si="0"/>
        <v>18081.504475737314</v>
      </c>
      <c r="J8" s="25">
        <f t="shared" si="0"/>
        <v>17780.14606780836</v>
      </c>
      <c r="K8" s="25">
        <f t="shared" si="0"/>
        <v>17483.810300011555</v>
      </c>
      <c r="L8" s="25">
        <f t="shared" si="0"/>
        <v>17192.413461678028</v>
      </c>
      <c r="M8" s="25">
        <f t="shared" si="0"/>
        <v>16905.87323731673</v>
      </c>
      <c r="N8" s="25">
        <f t="shared" si="0"/>
        <v>16624.10868336145</v>
      </c>
      <c r="O8" s="25">
        <f t="shared" si="0"/>
        <v>16347.040205305426</v>
      </c>
      <c r="P8" s="25">
        <f t="shared" si="0"/>
        <v>16074.589535217003</v>
      </c>
      <c r="Q8" s="25">
        <f t="shared" si="0"/>
        <v>15806.679709630052</v>
      </c>
      <c r="R8" s="25">
        <f t="shared" si="0"/>
        <v>15543.235047802886</v>
      </c>
      <c r="S8" s="25">
        <f t="shared" si="0"/>
        <v>15284.181130339504</v>
      </c>
      <c r="T8" s="25">
        <f t="shared" si="0"/>
        <v>15029.444778167179</v>
      </c>
      <c r="U8" s="25">
        <f t="shared" si="0"/>
        <v>14778.954031864392</v>
      </c>
      <c r="V8" s="25">
        <f t="shared" si="0"/>
        <v>14532.638131333319</v>
      </c>
      <c r="W8" s="25">
        <f t="shared" si="0"/>
        <v>14290.427495811096</v>
      </c>
      <c r="X8" s="25">
        <f t="shared" si="0"/>
        <v>14052.253704214245</v>
      </c>
      <c r="Y8" s="25">
        <f t="shared" si="0"/>
        <v>13818.049475810674</v>
      </c>
      <c r="Z8" s="25">
        <f t="shared" si="0"/>
        <v>13587.748651213829</v>
      </c>
      <c r="AA8" s="25">
        <f t="shared" si="0"/>
        <v>13361.286173693599</v>
      </c>
      <c r="AB8" s="25">
        <f t="shared" si="0"/>
        <v>13138.598070798706</v>
      </c>
      <c r="AC8" s="25">
        <f t="shared" si="0"/>
        <v>12919.621436285393</v>
      </c>
      <c r="AD8" s="25">
        <f>'Bal Sheet Workings'!AD8</f>
        <v>13361.286173693599</v>
      </c>
      <c r="AE8" s="25">
        <f>'Bal Sheet Workings'!AE8</f>
        <v>13138.598070798706</v>
      </c>
      <c r="AF8" s="25">
        <f>'Bal Sheet Workings'!AF8</f>
        <v>12919.621436285393</v>
      </c>
      <c r="AG8" s="25">
        <f>'Bal Sheet Workings'!AG8</f>
        <v>12704.294412347304</v>
      </c>
      <c r="AH8" s="25">
        <f>'Bal Sheet Workings'!AH8</f>
        <v>12492.556172141516</v>
      </c>
      <c r="AI8" s="25">
        <f>'Bal Sheet Workings'!AI8</f>
        <v>12284.346902605825</v>
      </c>
      <c r="AJ8" s="25">
        <f>'Bal Sheet Workings'!AJ8</f>
        <v>12079.607787562394</v>
      </c>
      <c r="AK8" s="25">
        <f>'Bal Sheet Workings'!AK8</f>
        <v>11878.280991103022</v>
      </c>
      <c r="AL8" s="25">
        <f>'Bal Sheet Workings'!AL8</f>
        <v>11680.309641251304</v>
      </c>
      <c r="AM8" s="25">
        <f>'Bal Sheet Workings'!AM8</f>
        <v>11485.637813897116</v>
      </c>
      <c r="AN8" s="25">
        <f>'Bal Sheet Workings'!AN8</f>
        <v>11294.21051699883</v>
      </c>
      <c r="AO8" s="25">
        <f>'Bal Sheet Workings'!AO8</f>
        <v>11105.97367504885</v>
      </c>
      <c r="AP8" s="25">
        <f t="shared" ref="AP8:BA8" si="1">AO12</f>
        <v>10920.874113798036</v>
      </c>
      <c r="AQ8" s="25">
        <f t="shared" si="1"/>
        <v>10738.859545234736</v>
      </c>
      <c r="AR8" s="25">
        <f t="shared" si="1"/>
        <v>10559.878552814158</v>
      </c>
      <c r="AS8" s="25">
        <f t="shared" si="1"/>
        <v>10383.880576933921</v>
      </c>
      <c r="AT8" s="25">
        <f t="shared" si="1"/>
        <v>10210.815900651689</v>
      </c>
      <c r="AU8" s="25">
        <f t="shared" si="1"/>
        <v>10040.635635640827</v>
      </c>
      <c r="AV8" s="25">
        <f t="shared" si="1"/>
        <v>9873.2917083801458</v>
      </c>
      <c r="AW8" s="25">
        <f t="shared" si="1"/>
        <v>9708.7368465738109</v>
      </c>
      <c r="AX8" s="25">
        <f t="shared" si="1"/>
        <v>9546.9245657975807</v>
      </c>
      <c r="AY8" s="25">
        <f t="shared" si="1"/>
        <v>9387.8091563676207</v>
      </c>
      <c r="AZ8" s="25">
        <f t="shared" si="1"/>
        <v>9231.3456704281598</v>
      </c>
      <c r="BA8" s="25">
        <f t="shared" si="1"/>
        <v>9077.4899092543565</v>
      </c>
    </row>
    <row r="9" spans="1:53" x14ac:dyDescent="0.25">
      <c r="B9" s="34" t="s">
        <v>201</v>
      </c>
      <c r="C9" s="25">
        <v>20000</v>
      </c>
    </row>
    <row r="10" spans="1:53" x14ac:dyDescent="0.25">
      <c r="B10" s="34" t="s">
        <v>202</v>
      </c>
      <c r="C10" s="25">
        <f t="shared" ref="C10:AC10" si="2">-(C8+C9)*0.2/12</f>
        <v>-333.33333333333331</v>
      </c>
      <c r="D10" s="25">
        <f t="shared" si="2"/>
        <v>-327.77777777777783</v>
      </c>
      <c r="E10" s="25">
        <f t="shared" si="2"/>
        <v>-322.31481481481484</v>
      </c>
      <c r="F10" s="25">
        <f t="shared" si="2"/>
        <v>-316.94290123456796</v>
      </c>
      <c r="G10" s="25">
        <f t="shared" si="2"/>
        <v>-311.66051954732512</v>
      </c>
      <c r="H10" s="25">
        <f t="shared" si="2"/>
        <v>-306.46617755486977</v>
      </c>
      <c r="I10" s="25">
        <f t="shared" si="2"/>
        <v>-301.35840792895527</v>
      </c>
      <c r="J10" s="25">
        <f t="shared" si="2"/>
        <v>-296.33576779680601</v>
      </c>
      <c r="K10" s="25">
        <f t="shared" si="2"/>
        <v>-291.39683833352592</v>
      </c>
      <c r="L10" s="25">
        <f t="shared" si="2"/>
        <v>-286.54022436130049</v>
      </c>
      <c r="M10" s="25">
        <f t="shared" si="2"/>
        <v>-281.76455395527881</v>
      </c>
      <c r="N10" s="25">
        <f t="shared" si="2"/>
        <v>-277.06847805602416</v>
      </c>
      <c r="O10" s="25">
        <f t="shared" si="2"/>
        <v>-272.45067008842381</v>
      </c>
      <c r="P10" s="25">
        <f t="shared" si="2"/>
        <v>-267.90982558695003</v>
      </c>
      <c r="Q10" s="25">
        <f t="shared" si="2"/>
        <v>-263.44466182716752</v>
      </c>
      <c r="R10" s="25">
        <f t="shared" si="2"/>
        <v>-259.05391746338142</v>
      </c>
      <c r="S10" s="25">
        <f t="shared" si="2"/>
        <v>-254.73635217232507</v>
      </c>
      <c r="T10" s="25">
        <f t="shared" si="2"/>
        <v>-250.49074630278633</v>
      </c>
      <c r="U10" s="25">
        <f t="shared" si="2"/>
        <v>-246.31590053107323</v>
      </c>
      <c r="V10" s="25">
        <f t="shared" si="2"/>
        <v>-242.21063552222199</v>
      </c>
      <c r="W10" s="25">
        <f t="shared" si="2"/>
        <v>-238.17379159685163</v>
      </c>
      <c r="X10" s="25">
        <f t="shared" si="2"/>
        <v>-234.20422840357074</v>
      </c>
      <c r="Y10" s="25">
        <f t="shared" si="2"/>
        <v>-230.30082459684459</v>
      </c>
      <c r="Z10" s="25">
        <f t="shared" si="2"/>
        <v>-226.46247752023052</v>
      </c>
      <c r="AA10" s="25">
        <f t="shared" si="2"/>
        <v>-222.68810289489332</v>
      </c>
      <c r="AB10" s="25">
        <f t="shared" si="2"/>
        <v>-218.97663451331178</v>
      </c>
      <c r="AC10" s="25">
        <f t="shared" si="2"/>
        <v>-215.32702393808992</v>
      </c>
      <c r="AD10" s="25">
        <f>'Bal Sheet Workings'!AD10</f>
        <v>-222.68810289489332</v>
      </c>
      <c r="AE10" s="25">
        <f>'Bal Sheet Workings'!AE10</f>
        <v>-218.97663451331178</v>
      </c>
      <c r="AF10" s="25">
        <f>'Bal Sheet Workings'!AF10</f>
        <v>-215.32702393808992</v>
      </c>
      <c r="AG10" s="25">
        <f>'Bal Sheet Workings'!AG10</f>
        <v>-211.73824020578843</v>
      </c>
      <c r="AH10" s="25">
        <f>'Bal Sheet Workings'!AH10</f>
        <v>-208.20926953569196</v>
      </c>
      <c r="AI10" s="25">
        <f>'Bal Sheet Workings'!AI10</f>
        <v>-204.73911504343042</v>
      </c>
      <c r="AJ10" s="25">
        <f>'Bal Sheet Workings'!AJ10</f>
        <v>-201.32679645937324</v>
      </c>
      <c r="AK10" s="25">
        <f>'Bal Sheet Workings'!AK10</f>
        <v>-197.97134985171704</v>
      </c>
      <c r="AL10" s="25">
        <f>'Bal Sheet Workings'!AL10</f>
        <v>-194.67182735418839</v>
      </c>
      <c r="AM10" s="25">
        <f>'Bal Sheet Workings'!AM10</f>
        <v>-191.42729689828528</v>
      </c>
      <c r="AN10" s="25">
        <f>'Bal Sheet Workings'!AN10</f>
        <v>-188.23684194998052</v>
      </c>
      <c r="AO10" s="25">
        <f>'Bal Sheet Workings'!AO10</f>
        <v>-185.09956125081419</v>
      </c>
      <c r="AP10" s="25">
        <f t="shared" ref="AP10:BA10" si="3">-(AP8+AP9)*0.2/12</f>
        <v>-182.0145685633006</v>
      </c>
      <c r="AQ10" s="25">
        <f t="shared" si="3"/>
        <v>-178.98099242057893</v>
      </c>
      <c r="AR10" s="25">
        <f t="shared" si="3"/>
        <v>-175.997975880236</v>
      </c>
      <c r="AS10" s="25">
        <f t="shared" si="3"/>
        <v>-173.06467628223206</v>
      </c>
      <c r="AT10" s="25">
        <f t="shared" si="3"/>
        <v>-170.18026501086149</v>
      </c>
      <c r="AU10" s="25">
        <f t="shared" si="3"/>
        <v>-167.34392726068046</v>
      </c>
      <c r="AV10" s="25">
        <f t="shared" si="3"/>
        <v>-164.55486180633577</v>
      </c>
      <c r="AW10" s="25">
        <f t="shared" si="3"/>
        <v>-161.81228077623018</v>
      </c>
      <c r="AX10" s="25">
        <f t="shared" si="3"/>
        <v>-159.11540942995967</v>
      </c>
      <c r="AY10" s="25">
        <f t="shared" si="3"/>
        <v>-156.46348593946036</v>
      </c>
      <c r="AZ10" s="25">
        <f t="shared" si="3"/>
        <v>-153.85576117380268</v>
      </c>
      <c r="BA10" s="25">
        <f t="shared" si="3"/>
        <v>-151.29149848757262</v>
      </c>
    </row>
    <row r="11" spans="1:53" x14ac:dyDescent="0.25">
      <c r="B11" s="34"/>
    </row>
    <row r="12" spans="1:53" s="2" customFormat="1" ht="13" x14ac:dyDescent="0.3">
      <c r="C12" s="35">
        <f t="shared" ref="C12:AH12" si="4">SUM(C8:C11)</f>
        <v>19666.666666666668</v>
      </c>
      <c r="D12" s="35">
        <f t="shared" si="4"/>
        <v>19338.888888888891</v>
      </c>
      <c r="E12" s="35">
        <f t="shared" si="4"/>
        <v>19016.574074074077</v>
      </c>
      <c r="F12" s="35">
        <f t="shared" si="4"/>
        <v>18699.631172839509</v>
      </c>
      <c r="G12" s="35">
        <f t="shared" si="4"/>
        <v>18387.970653292185</v>
      </c>
      <c r="H12" s="35">
        <f t="shared" si="4"/>
        <v>18081.504475737314</v>
      </c>
      <c r="I12" s="35">
        <f t="shared" si="4"/>
        <v>17780.14606780836</v>
      </c>
      <c r="J12" s="35">
        <f t="shared" si="4"/>
        <v>17483.810300011555</v>
      </c>
      <c r="K12" s="35">
        <f t="shared" si="4"/>
        <v>17192.413461678028</v>
      </c>
      <c r="L12" s="35">
        <f t="shared" si="4"/>
        <v>16905.87323731673</v>
      </c>
      <c r="M12" s="35">
        <f t="shared" si="4"/>
        <v>16624.10868336145</v>
      </c>
      <c r="N12" s="35">
        <f t="shared" si="4"/>
        <v>16347.040205305426</v>
      </c>
      <c r="O12" s="35">
        <f t="shared" si="4"/>
        <v>16074.589535217003</v>
      </c>
      <c r="P12" s="35">
        <f t="shared" si="4"/>
        <v>15806.679709630052</v>
      </c>
      <c r="Q12" s="35">
        <f t="shared" si="4"/>
        <v>15543.235047802886</v>
      </c>
      <c r="R12" s="35">
        <f t="shared" si="4"/>
        <v>15284.181130339504</v>
      </c>
      <c r="S12" s="35">
        <f t="shared" si="4"/>
        <v>15029.444778167179</v>
      </c>
      <c r="T12" s="35">
        <f t="shared" si="4"/>
        <v>14778.954031864392</v>
      </c>
      <c r="U12" s="35">
        <f t="shared" si="4"/>
        <v>14532.638131333319</v>
      </c>
      <c r="V12" s="35">
        <f t="shared" si="4"/>
        <v>14290.427495811096</v>
      </c>
      <c r="W12" s="35">
        <f t="shared" si="4"/>
        <v>14052.253704214245</v>
      </c>
      <c r="X12" s="35">
        <f t="shared" si="4"/>
        <v>13818.049475810674</v>
      </c>
      <c r="Y12" s="35">
        <f t="shared" si="4"/>
        <v>13587.748651213829</v>
      </c>
      <c r="Z12" s="35">
        <f t="shared" si="4"/>
        <v>13361.286173693599</v>
      </c>
      <c r="AA12" s="35">
        <f t="shared" si="4"/>
        <v>13138.598070798706</v>
      </c>
      <c r="AB12" s="35">
        <f t="shared" si="4"/>
        <v>12919.621436285393</v>
      </c>
      <c r="AC12" s="35">
        <f t="shared" si="4"/>
        <v>12704.294412347304</v>
      </c>
      <c r="AD12" s="35">
        <f t="shared" si="4"/>
        <v>13138.598070798706</v>
      </c>
      <c r="AE12" s="35">
        <f t="shared" si="4"/>
        <v>12919.621436285393</v>
      </c>
      <c r="AF12" s="35">
        <f t="shared" si="4"/>
        <v>12704.294412347304</v>
      </c>
      <c r="AG12" s="35">
        <f t="shared" si="4"/>
        <v>12492.556172141516</v>
      </c>
      <c r="AH12" s="35">
        <f t="shared" si="4"/>
        <v>12284.346902605825</v>
      </c>
      <c r="AI12" s="35">
        <f t="shared" ref="AI12:BA12" si="5">SUM(AI8:AI11)</f>
        <v>12079.607787562394</v>
      </c>
      <c r="AJ12" s="35">
        <f t="shared" si="5"/>
        <v>11878.280991103022</v>
      </c>
      <c r="AK12" s="35">
        <f t="shared" si="5"/>
        <v>11680.309641251304</v>
      </c>
      <c r="AL12" s="35">
        <f t="shared" si="5"/>
        <v>11485.637813897116</v>
      </c>
      <c r="AM12" s="35">
        <f t="shared" si="5"/>
        <v>11294.21051699883</v>
      </c>
      <c r="AN12" s="35">
        <f t="shared" si="5"/>
        <v>11105.97367504885</v>
      </c>
      <c r="AO12" s="35">
        <f t="shared" si="5"/>
        <v>10920.874113798036</v>
      </c>
      <c r="AP12" s="35">
        <f t="shared" si="5"/>
        <v>10738.859545234736</v>
      </c>
      <c r="AQ12" s="35">
        <f t="shared" si="5"/>
        <v>10559.878552814158</v>
      </c>
      <c r="AR12" s="35">
        <f t="shared" si="5"/>
        <v>10383.880576933921</v>
      </c>
      <c r="AS12" s="35">
        <f t="shared" si="5"/>
        <v>10210.815900651689</v>
      </c>
      <c r="AT12" s="35">
        <f t="shared" si="5"/>
        <v>10040.635635640827</v>
      </c>
      <c r="AU12" s="35">
        <f t="shared" si="5"/>
        <v>9873.2917083801458</v>
      </c>
      <c r="AV12" s="35">
        <f t="shared" si="5"/>
        <v>9708.7368465738109</v>
      </c>
      <c r="AW12" s="35">
        <f t="shared" si="5"/>
        <v>9546.9245657975807</v>
      </c>
      <c r="AX12" s="35">
        <f t="shared" si="5"/>
        <v>9387.8091563676207</v>
      </c>
      <c r="AY12" s="35">
        <f t="shared" si="5"/>
        <v>9231.3456704281598</v>
      </c>
      <c r="AZ12" s="35">
        <f t="shared" si="5"/>
        <v>9077.4899092543565</v>
      </c>
      <c r="BA12" s="35">
        <f t="shared" si="5"/>
        <v>8926.1984107667831</v>
      </c>
    </row>
    <row r="14" spans="1:53" ht="15.5" x14ac:dyDescent="0.35">
      <c r="A14" s="26" t="s">
        <v>203</v>
      </c>
    </row>
    <row r="15" spans="1:53" ht="15" customHeight="1" x14ac:dyDescent="0.35">
      <c r="A15" s="26"/>
      <c r="B15" s="1" t="s">
        <v>204</v>
      </c>
      <c r="C15" s="25">
        <f>'Cashflow Workings'!C35</f>
        <v>0</v>
      </c>
      <c r="D15" s="25">
        <f>C15+'Cashflow Workings'!D35</f>
        <v>0</v>
      </c>
      <c r="E15" s="25" t="e">
        <f>D15+'Cashflow Workings'!#REF!</f>
        <v>#REF!</v>
      </c>
      <c r="F15" s="25" t="e">
        <f>E15+'Cashflow Workings'!E35</f>
        <v>#REF!</v>
      </c>
      <c r="G15" s="25" t="e">
        <f>F15+'Cashflow Workings'!G35</f>
        <v>#REF!</v>
      </c>
      <c r="H15" s="25" t="e">
        <f>G15+'Cashflow Workings'!H35</f>
        <v>#REF!</v>
      </c>
      <c r="I15" s="25" t="e">
        <f>H15+'Cashflow Workings'!I35</f>
        <v>#REF!</v>
      </c>
      <c r="J15" s="25" t="e">
        <f>I15+'Cashflow Workings'!J35</f>
        <v>#REF!</v>
      </c>
      <c r="K15" s="25" t="e">
        <f>J15+'Cashflow Workings'!K35</f>
        <v>#REF!</v>
      </c>
      <c r="L15" s="25" t="e">
        <f>K15+'Cashflow Workings'!L35</f>
        <v>#REF!</v>
      </c>
      <c r="M15" s="25" t="e">
        <f>L15+'Cashflow Workings'!M35</f>
        <v>#REF!</v>
      </c>
      <c r="N15" s="25" t="e">
        <f>M15+'Cashflow Workings'!N35</f>
        <v>#REF!</v>
      </c>
      <c r="O15" s="25" t="e">
        <f>N15+'Cashflow Workings'!O35</f>
        <v>#REF!</v>
      </c>
      <c r="P15" s="25" t="e">
        <f>O15+'Cashflow Workings'!P35</f>
        <v>#REF!</v>
      </c>
      <c r="Q15" s="25" t="e">
        <f>P15+'Cashflow Workings'!Q35</f>
        <v>#REF!</v>
      </c>
      <c r="R15" s="25" t="e">
        <f>Q15+'Cashflow Workings'!R35</f>
        <v>#REF!</v>
      </c>
      <c r="S15" s="25" t="e">
        <f>R15+'Cashflow Workings'!S35</f>
        <v>#REF!</v>
      </c>
      <c r="T15" s="25" t="e">
        <f>S15+'Cashflow Workings'!T35</f>
        <v>#REF!</v>
      </c>
      <c r="U15" s="25" t="e">
        <f>T15+'Cashflow Workings'!U35</f>
        <v>#REF!</v>
      </c>
      <c r="V15" s="25" t="e">
        <f>U15+'Cashflow Workings'!V35</f>
        <v>#REF!</v>
      </c>
      <c r="W15" s="25" t="e">
        <f>V15+'Cashflow Workings'!W35</f>
        <v>#REF!</v>
      </c>
      <c r="X15" s="25" t="e">
        <f>W15+'Cashflow Workings'!X35</f>
        <v>#REF!</v>
      </c>
      <c r="Y15" s="25" t="e">
        <f>X15+'Cashflow Workings'!Y35</f>
        <v>#REF!</v>
      </c>
      <c r="Z15" s="25" t="e">
        <f>Y15+'Cashflow Workings'!Z35</f>
        <v>#REF!</v>
      </c>
      <c r="AA15" s="25" t="e">
        <f>Z15+'Cashflow Workings'!AA35</f>
        <v>#REF!</v>
      </c>
      <c r="AB15" s="25" t="e">
        <f>AA15+'Cashflow Workings'!AB35</f>
        <v>#REF!</v>
      </c>
      <c r="AC15" s="25" t="e">
        <f>AB15+'Cashflow Workings'!AC35</f>
        <v>#REF!</v>
      </c>
      <c r="AD15" s="25">
        <f>'Bal Sheet Workings'!AD15</f>
        <v>300000</v>
      </c>
      <c r="AE15" s="25">
        <f>'Bal Sheet Workings'!AE15</f>
        <v>300000</v>
      </c>
      <c r="AF15" s="25">
        <f>'Bal Sheet Workings'!AF15</f>
        <v>300000</v>
      </c>
      <c r="AG15" s="25">
        <f>'Bal Sheet Workings'!AG15</f>
        <v>300000</v>
      </c>
      <c r="AH15" s="25">
        <f>'Bal Sheet Workings'!AH15</f>
        <v>300000</v>
      </c>
      <c r="AI15" s="25">
        <f>'Bal Sheet Workings'!AI15</f>
        <v>300000</v>
      </c>
      <c r="AJ15" s="25">
        <f>'Bal Sheet Workings'!AJ15</f>
        <v>300000</v>
      </c>
      <c r="AK15" s="25">
        <f>'Bal Sheet Workings'!AK15</f>
        <v>300000</v>
      </c>
      <c r="AL15" s="25">
        <f>'Bal Sheet Workings'!AL15</f>
        <v>300000</v>
      </c>
      <c r="AM15" s="25">
        <f>'Bal Sheet Workings'!AM15</f>
        <v>300000</v>
      </c>
      <c r="AN15" s="25">
        <f>'Bal Sheet Workings'!AN15</f>
        <v>300000</v>
      </c>
      <c r="AO15" s="25">
        <f>'Bal Sheet Workings'!AO15</f>
        <v>300000</v>
      </c>
      <c r="AP15" s="25">
        <f>AO15+'Cashflow Workings'!AP35</f>
        <v>300000</v>
      </c>
      <c r="AQ15" s="25">
        <f>AP15+'Cashflow Workings'!AQ35</f>
        <v>300000</v>
      </c>
      <c r="AR15" s="25">
        <f>AQ15+'Cashflow Workings'!AR35</f>
        <v>300000</v>
      </c>
      <c r="AS15" s="25">
        <f>AR15+'Cashflow Workings'!AS35</f>
        <v>300000</v>
      </c>
      <c r="AT15" s="25">
        <f>AS15+'Cashflow Workings'!AT35</f>
        <v>300000</v>
      </c>
      <c r="AU15" s="25">
        <f>AT15+'Cashflow Workings'!AU35</f>
        <v>300000</v>
      </c>
      <c r="AV15" s="25">
        <f>AU15+'Cashflow Workings'!AV35</f>
        <v>300000</v>
      </c>
      <c r="AW15" s="25">
        <f>AV15+'Cashflow Workings'!AW35</f>
        <v>300000</v>
      </c>
      <c r="AX15" s="25">
        <f>AW15+'Cashflow Workings'!AX35</f>
        <v>300000</v>
      </c>
      <c r="AY15" s="25">
        <f>AX15+'Cashflow Workings'!AY35</f>
        <v>300000</v>
      </c>
      <c r="AZ15" s="25">
        <f>AY15+'Cashflow Workings'!AZ35</f>
        <v>300000</v>
      </c>
      <c r="BA15" s="25">
        <f>AZ15+'Cashflow Workings'!BA35</f>
        <v>300000</v>
      </c>
    </row>
    <row r="16" spans="1:53" ht="14.25" customHeight="1" x14ac:dyDescent="0.35">
      <c r="A16" s="26"/>
      <c r="B16" s="1" t="s">
        <v>205</v>
      </c>
      <c r="C16" s="25">
        <f>'Cashflow Workings'!C21</f>
        <v>0</v>
      </c>
      <c r="D16" s="25">
        <f>C16+'Cashflow Workings'!D21-'Cashflow Workings'!D15</f>
        <v>0</v>
      </c>
      <c r="E16" s="25">
        <f>D16+'Cashflow Workings'!E21-'Cashflow Workings'!E15</f>
        <v>0</v>
      </c>
      <c r="F16" s="25">
        <f>E16+'Cashflow Workings'!F21-'Cashflow Workings'!F15</f>
        <v>0</v>
      </c>
      <c r="G16" s="25">
        <f>F16+'Cashflow Workings'!G21-'Cashflow Workings'!G15</f>
        <v>0</v>
      </c>
      <c r="H16" s="25">
        <f>G16+'Cashflow Workings'!H21-'Cashflow Workings'!H15</f>
        <v>0</v>
      </c>
      <c r="I16" s="25">
        <f>H16+'Cashflow Workings'!I21-'Cashflow Workings'!I15</f>
        <v>0</v>
      </c>
      <c r="J16" s="25">
        <f>I16+'Cashflow Workings'!J21-'Cashflow Workings'!J15</f>
        <v>0</v>
      </c>
      <c r="K16" s="25">
        <f>J16+'Cashflow Workings'!K21-'Cashflow Workings'!K15</f>
        <v>0</v>
      </c>
      <c r="L16" s="25">
        <f>K16+'Cashflow Workings'!L21-'Cashflow Workings'!L15</f>
        <v>0</v>
      </c>
      <c r="M16" s="25">
        <f>L16+'Cashflow Workings'!M21-'Cashflow Workings'!M15</f>
        <v>0</v>
      </c>
      <c r="N16" s="25">
        <f>M16+'Cashflow Workings'!N21-'Cashflow Workings'!N15</f>
        <v>0</v>
      </c>
      <c r="O16" s="25">
        <f>N16+'Cashflow Workings'!O21-'Cashflow Workings'!O15</f>
        <v>0</v>
      </c>
      <c r="P16" s="25">
        <f>O16+'Cashflow Workings'!P21-'Cashflow Workings'!P15</f>
        <v>0</v>
      </c>
      <c r="Q16" s="25">
        <f>P16+'Cashflow Workings'!Q21-'Cashflow Workings'!Q15</f>
        <v>0</v>
      </c>
      <c r="R16" s="25">
        <f>Q16+'Cashflow Workings'!R21-'Cashflow Workings'!R15</f>
        <v>0</v>
      </c>
      <c r="S16" s="25">
        <f>R16+'Cashflow Workings'!S21-'Cashflow Workings'!S15</f>
        <v>0</v>
      </c>
      <c r="T16" s="25">
        <f>S16+'Cashflow Workings'!T21-'Cashflow Workings'!T15</f>
        <v>0</v>
      </c>
      <c r="U16" s="25">
        <f>T16+'Cashflow Workings'!U21-'Cashflow Workings'!U15</f>
        <v>0</v>
      </c>
      <c r="V16" s="25">
        <f>U16+'Cashflow Workings'!V21-'Cashflow Workings'!V15</f>
        <v>0</v>
      </c>
      <c r="W16" s="25">
        <f>V16+'Cashflow Workings'!W21-'Cashflow Workings'!W15</f>
        <v>0</v>
      </c>
      <c r="X16" s="25">
        <f>W16+'Cashflow Workings'!X21-'Cashflow Workings'!X15</f>
        <v>0</v>
      </c>
      <c r="Y16" s="25">
        <f>X16+'Cashflow Workings'!Y21-'Cashflow Workings'!Y15</f>
        <v>0</v>
      </c>
      <c r="Z16" s="25">
        <f>Y16+'Cashflow Workings'!Z21-'Cashflow Workings'!Z15</f>
        <v>0</v>
      </c>
      <c r="AA16" s="25">
        <f>Z16+'Cashflow Workings'!AA21-'Cashflow Workings'!AA15</f>
        <v>0</v>
      </c>
      <c r="AB16" s="25">
        <f>AA16+'Cashflow Workings'!AB21-'Cashflow Workings'!AB15</f>
        <v>0</v>
      </c>
      <c r="AC16" s="25">
        <f>AB16+'Cashflow Workings'!AC21-'Cashflow Workings'!AC15</f>
        <v>0</v>
      </c>
      <c r="AD16" s="25">
        <f>'Bal Sheet Workings'!AD16</f>
        <v>0</v>
      </c>
      <c r="AE16" s="25">
        <f>'Bal Sheet Workings'!AE16</f>
        <v>0</v>
      </c>
      <c r="AF16" s="25">
        <f>'Bal Sheet Workings'!AF16</f>
        <v>0</v>
      </c>
      <c r="AG16" s="25">
        <f>'Bal Sheet Workings'!AG16</f>
        <v>0</v>
      </c>
      <c r="AH16" s="25">
        <f>'Bal Sheet Workings'!AH16</f>
        <v>0</v>
      </c>
      <c r="AI16" s="25">
        <f>'Bal Sheet Workings'!AI16</f>
        <v>0</v>
      </c>
      <c r="AJ16" s="25">
        <f>'Bal Sheet Workings'!AJ16</f>
        <v>0</v>
      </c>
      <c r="AK16" s="25">
        <f>'Bal Sheet Workings'!AK16</f>
        <v>0</v>
      </c>
      <c r="AL16" s="25">
        <f>'Bal Sheet Workings'!AL16</f>
        <v>0</v>
      </c>
      <c r="AM16" s="25">
        <f>'Bal Sheet Workings'!AM16</f>
        <v>0</v>
      </c>
      <c r="AN16" s="25">
        <f>'Bal Sheet Workings'!AN16</f>
        <v>0</v>
      </c>
      <c r="AO16" s="25">
        <f>'Bal Sheet Workings'!AO16</f>
        <v>0</v>
      </c>
      <c r="AP16" s="25">
        <f>AO16+'Cashflow Workings'!AP21-'Cashflow Workings'!AP15</f>
        <v>0</v>
      </c>
      <c r="AQ16" s="25">
        <f>AP16+'Cashflow Workings'!AQ21-'Cashflow Workings'!AQ15</f>
        <v>0</v>
      </c>
      <c r="AR16" s="25">
        <f>AQ16+'Cashflow Workings'!AR21-'Cashflow Workings'!AR15</f>
        <v>0</v>
      </c>
      <c r="AS16" s="25">
        <f>AR16+'Cashflow Workings'!AS21-'Cashflow Workings'!AS15</f>
        <v>0</v>
      </c>
      <c r="AT16" s="25">
        <f>AS16+'Cashflow Workings'!AT21-'Cashflow Workings'!AT15</f>
        <v>0</v>
      </c>
      <c r="AU16" s="25">
        <f>AT16+'Cashflow Workings'!AU21-'Cashflow Workings'!AU15</f>
        <v>0</v>
      </c>
      <c r="AV16" s="25">
        <f>AU16+'Cashflow Workings'!AV21-'Cashflow Workings'!AV15</f>
        <v>0</v>
      </c>
      <c r="AW16" s="25">
        <f>AV16+'Cashflow Workings'!AW21-'Cashflow Workings'!AW15</f>
        <v>0</v>
      </c>
      <c r="AX16" s="25">
        <f>AW16+'Cashflow Workings'!AX21-'Cashflow Workings'!AX15</f>
        <v>0</v>
      </c>
      <c r="AY16" s="25">
        <f>AX16+'Cashflow Workings'!AY21-'Cashflow Workings'!AY15</f>
        <v>0</v>
      </c>
      <c r="AZ16" s="25">
        <f>AY16+'Cashflow Workings'!AZ21-'Cashflow Workings'!AZ15</f>
        <v>0</v>
      </c>
      <c r="BA16" s="25">
        <f>AZ16+'Cashflow Workings'!BA21-'Cashflow Workings'!BA15</f>
        <v>0</v>
      </c>
    </row>
    <row r="17" spans="1:53" s="13" customFormat="1" ht="12.75" customHeight="1" x14ac:dyDescent="0.25">
      <c r="B17" s="61" t="s">
        <v>206</v>
      </c>
      <c r="C17" s="33">
        <f>'Cashflow Workings'!C50</f>
        <v>0</v>
      </c>
      <c r="D17" s="33">
        <f>'Cashflow Workings'!D50</f>
        <v>0</v>
      </c>
      <c r="E17" s="33">
        <f>'Cashflow Workings'!E50</f>
        <v>1900550.0993992675</v>
      </c>
      <c r="F17" s="33">
        <f>'Cashflow Workings'!F50</f>
        <v>1912904.7984817449</v>
      </c>
      <c r="G17" s="33">
        <f>'Cashflow Workings'!G50</f>
        <v>1970397.1992693506</v>
      </c>
      <c r="H17" s="33">
        <f>'Cashflow Workings'!H50</f>
        <v>1855107.3155569562</v>
      </c>
      <c r="I17" s="33">
        <f>'Cashflow Workings'!I50</f>
        <v>1829484.562219562</v>
      </c>
      <c r="J17" s="33">
        <f>'Cashflow Workings'!J50</f>
        <v>2112280.3401321676</v>
      </c>
      <c r="K17" s="33">
        <f>'Cashflow Workings'!K50</f>
        <v>2142267.0601697732</v>
      </c>
      <c r="L17" s="33">
        <f>'Cashflow Workings'!L50</f>
        <v>1777094.9102073787</v>
      </c>
      <c r="M17" s="33">
        <f>'Cashflow Workings'!M50</f>
        <v>1779575.9494949842</v>
      </c>
      <c r="N17" s="33">
        <f>'Cashflow Workings'!N50</f>
        <v>1875156.5886325897</v>
      </c>
      <c r="O17" s="33">
        <f>'Cashflow Workings'!O50</f>
        <v>1247409.4483201953</v>
      </c>
      <c r="P17" s="33">
        <f>'Cashflow Workings'!P50</f>
        <v>1194879.1261078008</v>
      </c>
      <c r="Q17" s="33">
        <f>'Cashflow Workings'!Q50</f>
        <v>1252371.5268954064</v>
      </c>
      <c r="R17" s="33">
        <f>'Cashflow Workings'!R50</f>
        <v>1090146.0354330121</v>
      </c>
      <c r="S17" s="33">
        <f>'Cashflow Workings'!S50</f>
        <v>1254569.8517206179</v>
      </c>
      <c r="T17" s="33">
        <f>'Cashflow Workings'!T50</f>
        <v>1517953.5192582237</v>
      </c>
      <c r="U17" s="33">
        <f>'Cashflow Workings'!U50</f>
        <v>1532472.1532958292</v>
      </c>
      <c r="V17" s="33">
        <f>'Cashflow Workings'!V50</f>
        <v>1956020.8698334349</v>
      </c>
      <c r="W17" s="33">
        <f>'Cashflow Workings'!W50</f>
        <v>2089489.6048710407</v>
      </c>
      <c r="X17" s="33">
        <f>'Cashflow Workings'!X50</f>
        <v>1809869.0863226359</v>
      </c>
      <c r="Y17" s="33">
        <f>'Cashflow Workings'!Y50</f>
        <v>1912382.7401102413</v>
      </c>
      <c r="Z17" s="33">
        <f>'Cashflow Workings'!Z50</f>
        <v>1928532.6812632317</v>
      </c>
      <c r="AA17" s="33">
        <f>'Cashflow Workings'!AA50</f>
        <v>1325135.4939648267</v>
      </c>
      <c r="AB17" s="33">
        <f>'Cashflow Workings'!AB50</f>
        <v>1396694.0665024321</v>
      </c>
      <c r="AC17" s="33">
        <f>'Cashflow Workings'!AC50</f>
        <v>1561117.8827900379</v>
      </c>
      <c r="AD17" s="25">
        <f>'Bal Sheet Workings'!AD17</f>
        <v>1637757.9908706937</v>
      </c>
      <c r="AE17" s="25">
        <f>'Bal Sheet Workings'!AE17</f>
        <v>2053609.7455373607</v>
      </c>
      <c r="AF17" s="25">
        <f>'Bal Sheet Workings'!AF17</f>
        <v>2535741.1822040277</v>
      </c>
      <c r="AG17" s="25">
        <f>'Bal Sheet Workings'!AG17</f>
        <v>2752635.6072846837</v>
      </c>
      <c r="AH17" s="25">
        <f>'Bal Sheet Workings'!AH17</f>
        <v>3398473.7192013506</v>
      </c>
      <c r="AI17" s="25">
        <f>'Bal Sheet Workings'!AI17</f>
        <v>3743137.0296180174</v>
      </c>
      <c r="AJ17" s="25">
        <f>'Bal Sheet Workings'!AJ17</f>
        <v>3720159.830426415</v>
      </c>
      <c r="AK17" s="25">
        <f>'Bal Sheet Workings'!AK17</f>
        <v>4030578.206468082</v>
      </c>
      <c r="AL17" s="25">
        <f>'Bal Sheet Workings'!AL17</f>
        <v>4446429.9611347485</v>
      </c>
      <c r="AM17" s="25">
        <f>'Bal Sheet Workings'!AM17</f>
        <v>4093580.318193146</v>
      </c>
      <c r="AN17" s="25">
        <f>'Bal Sheet Workings'!AN17</f>
        <v>4335508.8254848123</v>
      </c>
      <c r="AO17" s="25">
        <f>'Bal Sheet Workings'!AO17</f>
        <v>4714417.0702764792</v>
      </c>
      <c r="AP17" s="33">
        <f>'Cashflow Workings'!AP50</f>
        <v>4943896.9324598759</v>
      </c>
      <c r="AQ17" s="33">
        <f>'Cashflow Workings'!AQ50</f>
        <v>5430777.4371265434</v>
      </c>
      <c r="AR17" s="33">
        <f>'Cashflow Workings'!AR50</f>
        <v>5981646.3737932108</v>
      </c>
      <c r="AS17" s="33">
        <f>'Cashflow Workings'!AS50</f>
        <v>6323271.5683516087</v>
      </c>
      <c r="AT17" s="33">
        <f>'Cashflow Workings'!AT50</f>
        <v>7040138.4302682756</v>
      </c>
      <c r="AU17" s="33">
        <f>'Cashflow Workings'!AU50</f>
        <v>7461092.4344349429</v>
      </c>
      <c r="AV17" s="33">
        <f>'Cashflow Workings'!AV50</f>
        <v>7568171.2768221181</v>
      </c>
      <c r="AW17" s="33">
        <f>'Cashflow Workings'!AW50</f>
        <v>7945035.9028637847</v>
      </c>
      <c r="AX17" s="33">
        <f>'Cashflow Workings'!AX50</f>
        <v>8431916.4075304512</v>
      </c>
      <c r="AY17" s="33">
        <f>'Cashflow Workings'!AY50</f>
        <v>8174126.5911676269</v>
      </c>
      <c r="AZ17" s="33">
        <f>'Cashflow Workings'!AZ50</f>
        <v>8477918.8484592941</v>
      </c>
      <c r="BA17" s="33">
        <f>'Cashflow Workings'!BA50</f>
        <v>8927855.8432509601</v>
      </c>
    </row>
    <row r="18" spans="1:53" ht="12.75" customHeight="1" x14ac:dyDescent="0.25">
      <c r="B18" s="63"/>
      <c r="C18" s="72">
        <f t="shared" ref="C18:AH18" si="6">SUM(C15:C17)</f>
        <v>0</v>
      </c>
      <c r="D18" s="72">
        <f t="shared" si="6"/>
        <v>0</v>
      </c>
      <c r="E18" s="72" t="e">
        <f t="shared" si="6"/>
        <v>#REF!</v>
      </c>
      <c r="F18" s="72" t="e">
        <f t="shared" si="6"/>
        <v>#REF!</v>
      </c>
      <c r="G18" s="72" t="e">
        <f t="shared" si="6"/>
        <v>#REF!</v>
      </c>
      <c r="H18" s="72" t="e">
        <f t="shared" si="6"/>
        <v>#REF!</v>
      </c>
      <c r="I18" s="72" t="e">
        <f t="shared" si="6"/>
        <v>#REF!</v>
      </c>
      <c r="J18" s="72" t="e">
        <f t="shared" si="6"/>
        <v>#REF!</v>
      </c>
      <c r="K18" s="72" t="e">
        <f t="shared" si="6"/>
        <v>#REF!</v>
      </c>
      <c r="L18" s="72" t="e">
        <f t="shared" si="6"/>
        <v>#REF!</v>
      </c>
      <c r="M18" s="72" t="e">
        <f t="shared" si="6"/>
        <v>#REF!</v>
      </c>
      <c r="N18" s="72" t="e">
        <f t="shared" si="6"/>
        <v>#REF!</v>
      </c>
      <c r="O18" s="72" t="e">
        <f t="shared" si="6"/>
        <v>#REF!</v>
      </c>
      <c r="P18" s="72" t="e">
        <f t="shared" si="6"/>
        <v>#REF!</v>
      </c>
      <c r="Q18" s="72" t="e">
        <f t="shared" si="6"/>
        <v>#REF!</v>
      </c>
      <c r="R18" s="72" t="e">
        <f t="shared" si="6"/>
        <v>#REF!</v>
      </c>
      <c r="S18" s="72" t="e">
        <f t="shared" si="6"/>
        <v>#REF!</v>
      </c>
      <c r="T18" s="72" t="e">
        <f t="shared" si="6"/>
        <v>#REF!</v>
      </c>
      <c r="U18" s="72" t="e">
        <f t="shared" si="6"/>
        <v>#REF!</v>
      </c>
      <c r="V18" s="72" t="e">
        <f t="shared" si="6"/>
        <v>#REF!</v>
      </c>
      <c r="W18" s="72" t="e">
        <f t="shared" si="6"/>
        <v>#REF!</v>
      </c>
      <c r="X18" s="72" t="e">
        <f t="shared" si="6"/>
        <v>#REF!</v>
      </c>
      <c r="Y18" s="72" t="e">
        <f t="shared" si="6"/>
        <v>#REF!</v>
      </c>
      <c r="Z18" s="72" t="e">
        <f t="shared" si="6"/>
        <v>#REF!</v>
      </c>
      <c r="AA18" s="72" t="e">
        <f t="shared" si="6"/>
        <v>#REF!</v>
      </c>
      <c r="AB18" s="72" t="e">
        <f t="shared" si="6"/>
        <v>#REF!</v>
      </c>
      <c r="AC18" s="72" t="e">
        <f t="shared" si="6"/>
        <v>#REF!</v>
      </c>
      <c r="AD18" s="28">
        <f t="shared" si="6"/>
        <v>1937757.9908706937</v>
      </c>
      <c r="AE18" s="28">
        <f t="shared" si="6"/>
        <v>2353609.7455373607</v>
      </c>
      <c r="AF18" s="28">
        <f t="shared" si="6"/>
        <v>2835741.1822040277</v>
      </c>
      <c r="AG18" s="28">
        <f t="shared" si="6"/>
        <v>3052635.6072846837</v>
      </c>
      <c r="AH18" s="28">
        <f t="shared" si="6"/>
        <v>3698473.7192013506</v>
      </c>
      <c r="AI18" s="28">
        <f t="shared" ref="AI18:BA18" si="7">SUM(AI15:AI17)</f>
        <v>4043137.0296180174</v>
      </c>
      <c r="AJ18" s="28">
        <f t="shared" si="7"/>
        <v>4020159.830426415</v>
      </c>
      <c r="AK18" s="28">
        <f t="shared" si="7"/>
        <v>4330578.206468082</v>
      </c>
      <c r="AL18" s="28">
        <f t="shared" si="7"/>
        <v>4746429.9611347485</v>
      </c>
      <c r="AM18" s="28">
        <f t="shared" si="7"/>
        <v>4393580.318193146</v>
      </c>
      <c r="AN18" s="28">
        <f t="shared" si="7"/>
        <v>4635508.8254848123</v>
      </c>
      <c r="AO18" s="28">
        <f t="shared" si="7"/>
        <v>5014417.0702764792</v>
      </c>
      <c r="AP18" s="72">
        <f t="shared" si="7"/>
        <v>5243896.9324598759</v>
      </c>
      <c r="AQ18" s="72">
        <f t="shared" si="7"/>
        <v>5730777.4371265434</v>
      </c>
      <c r="AR18" s="72">
        <f t="shared" si="7"/>
        <v>6281646.3737932108</v>
      </c>
      <c r="AS18" s="72">
        <f t="shared" si="7"/>
        <v>6623271.5683516087</v>
      </c>
      <c r="AT18" s="72">
        <f t="shared" si="7"/>
        <v>7340138.4302682756</v>
      </c>
      <c r="AU18" s="72">
        <f t="shared" si="7"/>
        <v>7761092.4344349429</v>
      </c>
      <c r="AV18" s="72">
        <f t="shared" si="7"/>
        <v>7868171.2768221181</v>
      </c>
      <c r="AW18" s="72">
        <f t="shared" si="7"/>
        <v>8245035.9028637847</v>
      </c>
      <c r="AX18" s="72">
        <f t="shared" si="7"/>
        <v>8731916.4075304512</v>
      </c>
      <c r="AY18" s="72">
        <f t="shared" si="7"/>
        <v>8474126.5911676269</v>
      </c>
      <c r="AZ18" s="72">
        <f t="shared" si="7"/>
        <v>8777918.8484592941</v>
      </c>
      <c r="BA18" s="72">
        <f t="shared" si="7"/>
        <v>9227855.8432509601</v>
      </c>
    </row>
    <row r="19" spans="1:53" ht="12.75" customHeight="1" x14ac:dyDescent="0.25">
      <c r="B19" s="61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</row>
    <row r="20" spans="1:53" ht="15.75" customHeight="1" x14ac:dyDescent="0.35">
      <c r="A20" s="26" t="s">
        <v>207</v>
      </c>
      <c r="B20" s="61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</row>
    <row r="21" spans="1:53" ht="12.75" customHeight="1" x14ac:dyDescent="0.25">
      <c r="B21" s="61" t="s">
        <v>178</v>
      </c>
      <c r="C21" s="45">
        <f>-P_L!C78-'Cashflow Workings'!C40</f>
        <v>0</v>
      </c>
      <c r="D21" s="45">
        <f>C21-P_L!D78-'Cashflow Workings'!D40</f>
        <v>0</v>
      </c>
      <c r="E21" s="45">
        <f>D21-P_L!E78-'Cashflow Workings'!E40</f>
        <v>-182615.72938461541</v>
      </c>
      <c r="F21" s="45">
        <f>E21-P_L!F78-'Cashflow Workings'!F40</f>
        <v>-187687.38838461597</v>
      </c>
      <c r="G21" s="45">
        <f>F21-P_L!G78-'Cashflow Workings'!G40</f>
        <v>-177454.88400239343</v>
      </c>
      <c r="H21" s="45">
        <f>G21-P_L!H78-'Cashflow Workings'!H40</f>
        <v>-143517.7507737554</v>
      </c>
      <c r="I21" s="45">
        <f>H21-P_L!I78-'Cashflow Workings'!I40</f>
        <v>-75391.039176282109</v>
      </c>
      <c r="J21" s="45">
        <f>I21-P_L!J78-'Cashflow Workings'!J40</f>
        <v>-7077.6770926992031</v>
      </c>
      <c r="K21" s="45">
        <f>J21-P_L!K78-'Cashflow Workings'!K40</f>
        <v>-2536.2297738425059</v>
      </c>
      <c r="L21" s="45">
        <f>K21-P_L!L78-'Cashflow Workings'!L40</f>
        <v>8629.5651987821238</v>
      </c>
      <c r="M21" s="45">
        <f>L21-P_L!M78-'Cashflow Workings'!M40</f>
        <v>7114.5664508445561</v>
      </c>
      <c r="N21" s="45">
        <f>M21-P_L!N78-'Cashflow Workings'!N40</f>
        <v>28386.299953440357</v>
      </c>
      <c r="O21" s="45">
        <f>N21-P_L!O78-'Cashflow Workings'!O40</f>
        <v>-37099.392338254627</v>
      </c>
      <c r="P21" s="45">
        <f>O21-P_L!P78-'Cashflow Workings'!P40</f>
        <v>-50908.1048459257</v>
      </c>
      <c r="Q21" s="45">
        <f>P21-P_L!Q78-'Cashflow Workings'!Q40</f>
        <v>-38780.376728656862</v>
      </c>
      <c r="R21" s="45">
        <f>Q21-P_L!R78-'Cashflow Workings'!R40</f>
        <v>-13787.355243063994</v>
      </c>
      <c r="S21" s="45">
        <f>R21-P_L!S78-'Cashflow Workings'!S40</f>
        <v>26035.022296975087</v>
      </c>
      <c r="T21" s="45">
        <f>S21-P_L!T78-'Cashflow Workings'!T40</f>
        <v>91909.34556099477</v>
      </c>
      <c r="U21" s="45">
        <f>T21-P_L!U78-'Cashflow Workings'!U40</f>
        <v>198289.08624301912</v>
      </c>
      <c r="V21" s="45">
        <f>U21-P_L!V78-'Cashflow Workings'!V40</f>
        <v>304869.55510304309</v>
      </c>
      <c r="W21" s="45">
        <f>V21-P_L!W78-'Cashflow Workings'!W40</f>
        <v>338176.30100891774</v>
      </c>
      <c r="X21" s="45">
        <f>W21-P_L!X78-'Cashflow Workings'!X40</f>
        <v>414961.19814262871</v>
      </c>
      <c r="Y21" s="45">
        <f>X21-P_L!Y78-'Cashflow Workings'!Y40</f>
        <v>441359.43038703175</v>
      </c>
      <c r="Z21" s="45">
        <f>Y21-P_L!Z78-'Cashflow Workings'!Z40</f>
        <v>308747.99696827051</v>
      </c>
      <c r="AA21" s="45">
        <f>Z21-P_L!AA78-'Cashflow Workings'!AA40</f>
        <v>291040.28154577216</v>
      </c>
      <c r="AB21" s="45">
        <f>AA21-P_L!AB78-'Cashflow Workings'!AB40</f>
        <v>310743.19845649361</v>
      </c>
      <c r="AC21" s="45">
        <f>AB21-P_L!AC78-'Cashflow Workings'!AC40</f>
        <v>352603.97128163074</v>
      </c>
      <c r="AD21" s="25">
        <f>AC21-P_L!AD78-'Cashflow Workings'!AD40</f>
        <v>449184.84301475156</v>
      </c>
      <c r="AE21" s="25">
        <f>AD21-P_L!AE78-'Cashflow Workings'!AE40</f>
        <v>526728.71002439759</v>
      </c>
      <c r="AF21" s="25">
        <f>AE21-P_L!AF78-'Cashflow Workings'!AF40</f>
        <v>621783.44191721629</v>
      </c>
      <c r="AG21" s="25">
        <f>AF21-P_L!AG78-'Cashflow Workings'!AG40</f>
        <v>794008.23960914393</v>
      </c>
      <c r="AH21" s="25">
        <f>AG21-P_L!AH78-'Cashflow Workings'!AH40</f>
        <v>930275.25782828324</v>
      </c>
      <c r="AI21" s="25">
        <f>AH21-P_L!AI78-'Cashflow Workings'!AI40</f>
        <v>990234.9210937703</v>
      </c>
      <c r="AJ21" s="25">
        <f>AI21-P_L!AJ78-'Cashflow Workings'!AJ40</f>
        <v>1183872.2978215632</v>
      </c>
      <c r="AK21" s="25">
        <f>AJ21-P_L!AK78-'Cashflow Workings'!AK40</f>
        <v>1235677.9019166077</v>
      </c>
      <c r="AL21" s="25">
        <f>AK21-P_L!AL78-'Cashflow Workings'!AL40</f>
        <v>1313229.0603684015</v>
      </c>
      <c r="AM21" s="25">
        <f>AL21-P_L!AM78-'Cashflow Workings'!AM40</f>
        <v>1408996.3329460626</v>
      </c>
      <c r="AN21" s="25">
        <f>AM21-P_L!AN78-'Cashflow Workings'!AN40</f>
        <v>1444492.6783934776</v>
      </c>
      <c r="AO21" s="25">
        <f>AN21-P_L!AO78-'Cashflow Workings'!AO40</f>
        <v>1512614.3230251025</v>
      </c>
      <c r="AP21" s="45">
        <f>AO21-P_L!AP78-'Cashflow Workings'!AP40</f>
        <v>1724558.003421264</v>
      </c>
      <c r="AQ21" s="45">
        <f>AP21-P_L!AQ78-'Cashflow Workings'!AQ40</f>
        <v>1820248.8691235378</v>
      </c>
      <c r="AR21" s="45">
        <f>AQ21-P_L!AR78-'Cashflow Workings'!AR40</f>
        <v>1932865.3997307739</v>
      </c>
      <c r="AS21" s="45">
        <f>AR21-P_L!AS78-'Cashflow Workings'!AS40</f>
        <v>2212798.5615946199</v>
      </c>
      <c r="AT21" s="45">
        <f>AS21-P_L!AT78-'Cashflow Workings'!AT40</f>
        <v>2367211.9885151167</v>
      </c>
      <c r="AU21" s="45">
        <f>AT21-P_L!AU78-'Cashflow Workings'!AU40</f>
        <v>2446661.3453369387</v>
      </c>
      <c r="AV21" s="45">
        <f>AU21-P_L!AV78-'Cashflow Workings'!AV40</f>
        <v>2744179.7795989048</v>
      </c>
      <c r="AW21" s="45">
        <f>AV21-P_L!AW78-'Cashflow Workings'!AW40</f>
        <v>2812961.231414672</v>
      </c>
      <c r="AX21" s="45">
        <f>AW21-P_L!AX78-'Cashflow Workings'!AX40</f>
        <v>2908658.0567918429</v>
      </c>
      <c r="AY21" s="45">
        <f>AX21-P_L!AY78-'Cashflow Workings'!AY40</f>
        <v>3099293.0869665686</v>
      </c>
      <c r="AZ21" s="45">
        <f>AY21-P_L!AZ78-'Cashflow Workings'!AZ40</f>
        <v>3150594.7467382164</v>
      </c>
      <c r="BA21" s="45">
        <f>AZ21-P_L!BA78-'Cashflow Workings'!BA40</f>
        <v>3236861.5337886703</v>
      </c>
    </row>
    <row r="22" spans="1:53" ht="12.75" customHeight="1" x14ac:dyDescent="0.25">
      <c r="B22" s="61" t="s">
        <v>208</v>
      </c>
      <c r="C22" s="62">
        <f>'Cashflow Workings'!C55-'Cashflow Workings'!C42</f>
        <v>0</v>
      </c>
      <c r="D22" s="45">
        <f>C22+'Cashflow Workings'!D55-'Cashflow Workings'!D42</f>
        <v>0</v>
      </c>
      <c r="E22" s="45">
        <f>D22+'Cashflow Workings'!E55-'Cashflow Workings'!E42</f>
        <v>-82373.659794871812</v>
      </c>
      <c r="F22" s="45">
        <f>E22+'Cashflow Workings'!F55-'Cashflow Workings'!F42</f>
        <v>55927.217583333288</v>
      </c>
      <c r="G22" s="45">
        <f>F22+'Cashflow Workings'!G55-'Cashflow Workings'!G42</f>
        <v>176462.93666666659</v>
      </c>
      <c r="H22" s="45">
        <f>G22+'Cashflow Workings'!H55-'Cashflow Workings'!H42</f>
        <v>308418.53124999994</v>
      </c>
      <c r="I22" s="45">
        <f>H22+'Cashflow Workings'!I55-'Cashflow Workings'!I42</f>
        <v>154091.54120833328</v>
      </c>
      <c r="J22" s="45">
        <f>I22+'Cashflow Workings'!J55-'Cashflow Workings'!J42</f>
        <v>308183.08241666656</v>
      </c>
      <c r="K22" s="45">
        <f>J22+'Cashflow Workings'!K55-'Cashflow Workings'!K42</f>
        <v>422664.55074999988</v>
      </c>
      <c r="L22" s="45">
        <f>K22+'Cashflow Workings'!L55-'Cashflow Workings'!L42</f>
        <v>120535.71908333327</v>
      </c>
      <c r="M22" s="45">
        <f>L22+'Cashflow Workings'!M55-'Cashflow Workings'!M42</f>
        <v>228962.93666666656</v>
      </c>
      <c r="N22" s="45">
        <f>M22+'Cashflow Workings'!N55-'Cashflow Workings'!N42</f>
        <v>355171.37209999986</v>
      </c>
      <c r="O22" s="45">
        <f>N22+'Cashflow Workings'!O55-'Cashflow Workings'!O42</f>
        <v>47884.710083333252</v>
      </c>
      <c r="P22" s="45">
        <f>O22+'Cashflow Workings'!P55-'Cashflow Workings'!P42</f>
        <v>144203.42616666656</v>
      </c>
      <c r="Q22" s="45">
        <f>P22+'Cashflow Workings'!Q55-'Cashflow Workings'!Q42</f>
        <v>264739.14524999983</v>
      </c>
      <c r="R22" s="45">
        <f>Q22+'Cashflow Workings'!R55-'Cashflow Workings'!R42</f>
        <v>123325.69208333321</v>
      </c>
      <c r="S22" s="45">
        <f>R22+'Cashflow Workings'!S55-'Cashflow Workings'!S42</f>
        <v>259787.36666666655</v>
      </c>
      <c r="T22" s="45">
        <f>S22+'Cashflow Workings'!T55-'Cashflow Workings'!T42</f>
        <v>409030.0824999999</v>
      </c>
      <c r="U22" s="45">
        <f>T22+'Cashflow Workings'!U55-'Cashflow Workings'!U42</f>
        <v>175054.74483333318</v>
      </c>
      <c r="V22" s="45">
        <f>U22+'Cashflow Workings'!V55-'Cashflow Workings'!V42</f>
        <v>350109.48966666649</v>
      </c>
      <c r="W22" s="45">
        <f>V22+'Cashflow Workings'!W55-'Cashflow Workings'!W42</f>
        <v>480003.17299999978</v>
      </c>
      <c r="X22" s="45">
        <f>W22+'Cashflow Workings'!X55-'Cashflow Workings'!X42</f>
        <v>136461.6745833332</v>
      </c>
      <c r="Y22" s="45">
        <f>X22+'Cashflow Workings'!Y55-'Cashflow Workings'!Y42</f>
        <v>259787.36666666652</v>
      </c>
      <c r="Z22" s="45">
        <f>Y22+'Cashflow Workings'!Z55-'Cashflow Workings'!Z42</f>
        <v>401363.78549999988</v>
      </c>
      <c r="AA22" s="45">
        <f>Z22+'Cashflow Workings'!AA55-'Cashflow Workings'!AA42</f>
        <v>51077.788333333214</v>
      </c>
      <c r="AB22" s="45">
        <f>AA22+'Cashflow Workings'!AB55-'Cashflow Workings'!AB42</f>
        <v>167835.48916666649</v>
      </c>
      <c r="AC22" s="45">
        <f>AB22+'Cashflow Workings'!AC55-'Cashflow Workings'!AC42</f>
        <v>304297.16374999983</v>
      </c>
      <c r="AD22" s="25">
        <f>AC22+'Cashflow Workings'!AD55-'Cashflow Workings'!AD42</f>
        <v>142682.30033333314</v>
      </c>
      <c r="AE22" s="25">
        <f>AD22+'Cashflow Workings'!AE55-'Cashflow Workings'!AE42</f>
        <v>299835.52166666649</v>
      </c>
      <c r="AF22" s="25">
        <f>AE22+'Cashflow Workings'!AF55-'Cashflow Workings'!AF42</f>
        <v>464902.52499999979</v>
      </c>
      <c r="AG22" s="25">
        <f>AF22+'Cashflow Workings'!AG55-'Cashflow Workings'!AG42</f>
        <v>191406.50858333323</v>
      </c>
      <c r="AH22" s="25">
        <f>AG22+'Cashflow Workings'!AH55-'Cashflow Workings'!AH42</f>
        <v>382813.01716666657</v>
      </c>
      <c r="AI22" s="25">
        <f>AH22+'Cashflow Workings'!AI55-'Cashflow Workings'!AI42</f>
        <v>527406.0442499998</v>
      </c>
      <c r="AJ22" s="25">
        <f>AI22+'Cashflow Workings'!AJ55-'Cashflow Workings'!AJ42</f>
        <v>151650.99645833322</v>
      </c>
      <c r="AK22" s="25">
        <f>AJ22+'Cashflow Workings'!AK55-'Cashflow Workings'!AK42</f>
        <v>289186.05416666652</v>
      </c>
      <c r="AL22" s="25">
        <f>AK22+'Cashflow Workings'!AL55-'Cashflow Workings'!AL42</f>
        <v>446339.27549999987</v>
      </c>
      <c r="AM22" s="25">
        <f>AL22+'Cashflow Workings'!AM55-'Cashflow Workings'!AM42</f>
        <v>66955.363958333211</v>
      </c>
      <c r="AN22" s="25">
        <f>AM22+'Cashflow Workings'!AN55-'Cashflow Workings'!AN42</f>
        <v>190374.48291666651</v>
      </c>
      <c r="AO22" s="25">
        <f>AN22+'Cashflow Workings'!AO55-'Cashflow Workings'!AO42</f>
        <v>342025.47937499988</v>
      </c>
      <c r="AP22" s="45">
        <f>AO22+'Cashflow Workings'!AP55-'Cashflow Workings'!AP42</f>
        <v>157725.79295833316</v>
      </c>
      <c r="AQ22" s="45">
        <f>AP22+'Cashflow Workings'!AQ55-'Cashflow Workings'!AQ42</f>
        <v>325457.76429166645</v>
      </c>
      <c r="AR22" s="45">
        <f>AQ22+'Cashflow Workings'!AR55-'Cashflow Workings'!AR42</f>
        <v>500762.26762499975</v>
      </c>
      <c r="AS22" s="45">
        <f>AR22+'Cashflow Workings'!AS55-'Cashflow Workings'!AS42</f>
        <v>201985.25858333323</v>
      </c>
      <c r="AT22" s="45">
        <f>AS22+'Cashflow Workings'!AT55-'Cashflow Workings'!AT42</f>
        <v>403970.51716666657</v>
      </c>
      <c r="AU22" s="45">
        <f>AT22+'Cashflow Workings'!AU55-'Cashflow Workings'!AU42</f>
        <v>559925.9879999999</v>
      </c>
      <c r="AV22" s="45">
        <f>AU22+'Cashflow Workings'!AV55-'Cashflow Workings'!AV42</f>
        <v>163392.18833333335</v>
      </c>
      <c r="AW22" s="45">
        <f>AV22+'Cashflow Workings'!AW55-'Cashflow Workings'!AW42</f>
        <v>310823.49604166666</v>
      </c>
      <c r="AX22" s="45">
        <f>AW22+'Cashflow Workings'!AX55-'Cashflow Workings'!AX42</f>
        <v>478555.46737500001</v>
      </c>
      <c r="AY22" s="45">
        <f>AX22+'Cashflow Workings'!AY55-'Cashflow Workings'!AY42</f>
        <v>73439.113958333386</v>
      </c>
      <c r="AZ22" s="45">
        <f>AY22+'Cashflow Workings'!AZ55-'Cashflow Workings'!AZ42</f>
        <v>206071.98291666672</v>
      </c>
      <c r="BA22" s="45">
        <f>AZ22+'Cashflow Workings'!BA55-'Cashflow Workings'!BA42</f>
        <v>368301.72937500011</v>
      </c>
    </row>
    <row r="23" spans="1:53" ht="12.75" customHeight="1" x14ac:dyDescent="0.25">
      <c r="B23" s="61" t="s">
        <v>209</v>
      </c>
      <c r="C23" s="45">
        <f>'Cashflow Workings'!C16-'Cashflow Workings'!C41</f>
        <v>0</v>
      </c>
      <c r="D23" s="45">
        <f>C23+'Cashflow Workings'!D16-'Cashflow Workings'!D41</f>
        <v>0</v>
      </c>
      <c r="E23" s="45" t="e">
        <f>D23+'Cashflow Workings'!#REF!-'Cashflow Workings'!E41</f>
        <v>#REF!</v>
      </c>
      <c r="F23" s="45" t="e">
        <f>E23+'Cashflow Workings'!#REF!-'Cashflow Workings'!F41</f>
        <v>#REF!</v>
      </c>
      <c r="G23" s="45" t="e">
        <f>F23+'Cashflow Workings'!G16-'Cashflow Workings'!G41</f>
        <v>#REF!</v>
      </c>
      <c r="H23" s="45" t="e">
        <f>G23+'Cashflow Workings'!H16-'Cashflow Workings'!H41</f>
        <v>#REF!</v>
      </c>
      <c r="I23" s="45" t="e">
        <f>H23+'Cashflow Workings'!I16-'Cashflow Workings'!I41</f>
        <v>#REF!</v>
      </c>
      <c r="J23" s="45" t="e">
        <f>I23+'Cashflow Workings'!J16-'Cashflow Workings'!J41</f>
        <v>#REF!</v>
      </c>
      <c r="K23" s="45" t="e">
        <f>J23+'Cashflow Workings'!K16-'Cashflow Workings'!K41</f>
        <v>#REF!</v>
      </c>
      <c r="L23" s="45" t="e">
        <f>K23+'Cashflow Workings'!L16-'Cashflow Workings'!L41</f>
        <v>#REF!</v>
      </c>
      <c r="M23" s="45" t="e">
        <f>L23+'Cashflow Workings'!M16-'Cashflow Workings'!M41</f>
        <v>#REF!</v>
      </c>
      <c r="N23" s="45" t="e">
        <f>M23+'Cashflow Workings'!N16-'Cashflow Workings'!N41</f>
        <v>#REF!</v>
      </c>
      <c r="O23" s="45" t="e">
        <f>N23+'Cashflow Workings'!O16-'Cashflow Workings'!O41</f>
        <v>#REF!</v>
      </c>
      <c r="P23" s="45" t="e">
        <f>O23+'Cashflow Workings'!P16-'Cashflow Workings'!P41</f>
        <v>#REF!</v>
      </c>
      <c r="Q23" s="45" t="e">
        <f>P23+'Cashflow Workings'!Q16-'Cashflow Workings'!Q41</f>
        <v>#REF!</v>
      </c>
      <c r="R23" s="45" t="e">
        <f>Q23+'Cashflow Workings'!R16-'Cashflow Workings'!R41</f>
        <v>#REF!</v>
      </c>
      <c r="S23" s="45" t="e">
        <f>R23+'Cashflow Workings'!S16-'Cashflow Workings'!S41</f>
        <v>#REF!</v>
      </c>
      <c r="T23" s="45" t="e">
        <f>S23+'Cashflow Workings'!T16-'Cashflow Workings'!T41</f>
        <v>#REF!</v>
      </c>
      <c r="U23" s="45" t="e">
        <f>T23+'Cashflow Workings'!U16-'Cashflow Workings'!U41</f>
        <v>#REF!</v>
      </c>
      <c r="V23" s="45" t="e">
        <f>U23+'Cashflow Workings'!V16-'Cashflow Workings'!V41</f>
        <v>#REF!</v>
      </c>
      <c r="W23" s="45" t="e">
        <f>V23+'Cashflow Workings'!W16-'Cashflow Workings'!W41</f>
        <v>#REF!</v>
      </c>
      <c r="X23" s="45" t="e">
        <f>W23+'Cashflow Workings'!X16-'Cashflow Workings'!X41</f>
        <v>#REF!</v>
      </c>
      <c r="Y23" s="45" t="e">
        <f>X23+'Cashflow Workings'!Y16-'Cashflow Workings'!Y41</f>
        <v>#REF!</v>
      </c>
      <c r="Z23" s="45" t="e">
        <f>Y23+'Cashflow Workings'!Z16-'Cashflow Workings'!Z41</f>
        <v>#REF!</v>
      </c>
      <c r="AA23" s="45" t="e">
        <f>Z23+'Cashflow Workings'!AA16-'Cashflow Workings'!AA41</f>
        <v>#REF!</v>
      </c>
      <c r="AB23" s="45" t="e">
        <f>AA23+'Cashflow Workings'!AB16-'Cashflow Workings'!AB41</f>
        <v>#REF!</v>
      </c>
      <c r="AC23" s="45" t="e">
        <f>AB23+'Cashflow Workings'!AC16-'Cashflow Workings'!AC41</f>
        <v>#REF!</v>
      </c>
      <c r="AD23" s="25">
        <f>'Bal Sheet Workings'!AD23</f>
        <v>44897.119999949144</v>
      </c>
      <c r="AE23" s="25">
        <f>'Bal Sheet Workings'!AE23</f>
        <v>44897.119999949144</v>
      </c>
      <c r="AF23" s="25">
        <f>'Bal Sheet Workings'!AF23</f>
        <v>44897.119999949144</v>
      </c>
      <c r="AG23" s="25">
        <f>'Bal Sheet Workings'!AG23</f>
        <v>44897.119999949144</v>
      </c>
      <c r="AH23" s="25">
        <f>'Bal Sheet Workings'!AH23</f>
        <v>44897.119999949144</v>
      </c>
      <c r="AI23" s="25">
        <f>'Bal Sheet Workings'!AI23</f>
        <v>44897.119999949144</v>
      </c>
      <c r="AJ23" s="25">
        <f>'Bal Sheet Workings'!AJ23</f>
        <v>44897.119999949144</v>
      </c>
      <c r="AK23" s="25">
        <f>'Bal Sheet Workings'!AK23</f>
        <v>44897.119999949144</v>
      </c>
      <c r="AL23" s="25">
        <f>'Bal Sheet Workings'!AL23</f>
        <v>44897.119999949144</v>
      </c>
      <c r="AM23" s="25">
        <f>'Bal Sheet Workings'!AM23</f>
        <v>44897.119999949144</v>
      </c>
      <c r="AN23" s="25">
        <f>'Bal Sheet Workings'!AN23</f>
        <v>44897.119999949144</v>
      </c>
      <c r="AO23" s="25">
        <f>'Bal Sheet Workings'!AO23</f>
        <v>44897.119999949144</v>
      </c>
      <c r="AP23" s="45">
        <f>AO23+'Cashflow Workings'!AP16-'Cashflow Workings'!AP41</f>
        <v>44897.119999949144</v>
      </c>
      <c r="AQ23" s="45">
        <f>AP23+'Cashflow Workings'!AQ16-'Cashflow Workings'!AQ41</f>
        <v>44897.119999949144</v>
      </c>
      <c r="AR23" s="45">
        <f>AQ23+'Cashflow Workings'!AR16-'Cashflow Workings'!AR41</f>
        <v>44897.119999949144</v>
      </c>
      <c r="AS23" s="45">
        <f>AR23+'Cashflow Workings'!AS16-'Cashflow Workings'!AS41</f>
        <v>44897.119999949144</v>
      </c>
      <c r="AT23" s="45">
        <f>AS23+'Cashflow Workings'!AT16-'Cashflow Workings'!AT41</f>
        <v>44897.119999949144</v>
      </c>
      <c r="AU23" s="45">
        <f>AT23+'Cashflow Workings'!AU16-'Cashflow Workings'!AU41</f>
        <v>44897.119999949144</v>
      </c>
      <c r="AV23" s="45">
        <f>AU23+'Cashflow Workings'!AV16-'Cashflow Workings'!AV41</f>
        <v>44897.119999949144</v>
      </c>
      <c r="AW23" s="45">
        <f>AV23+'Cashflow Workings'!AW16-'Cashflow Workings'!AW41</f>
        <v>44897.119999949144</v>
      </c>
      <c r="AX23" s="45">
        <f>AW23+'Cashflow Workings'!AX16-'Cashflow Workings'!AX41</f>
        <v>44897.119999949144</v>
      </c>
      <c r="AY23" s="45">
        <f>AX23+'Cashflow Workings'!AY16-'Cashflow Workings'!AY41</f>
        <v>44897.119999949144</v>
      </c>
      <c r="AZ23" s="45">
        <f>AY23+'Cashflow Workings'!AZ16-'Cashflow Workings'!AZ41</f>
        <v>44897.119999949144</v>
      </c>
      <c r="BA23" s="45">
        <f>AZ23+'Cashflow Workings'!BA16-'Cashflow Workings'!BA41</f>
        <v>44897.119999949144</v>
      </c>
    </row>
    <row r="24" spans="1:53" ht="12.75" customHeight="1" x14ac:dyDescent="0.25">
      <c r="B24" s="61"/>
      <c r="C24" s="72">
        <f t="shared" ref="C24:AH24" si="8">SUM(C21:C23)</f>
        <v>0</v>
      </c>
      <c r="D24" s="72">
        <f t="shared" si="8"/>
        <v>0</v>
      </c>
      <c r="E24" s="72" t="e">
        <f t="shared" si="8"/>
        <v>#REF!</v>
      </c>
      <c r="F24" s="72" t="e">
        <f t="shared" si="8"/>
        <v>#REF!</v>
      </c>
      <c r="G24" s="72" t="e">
        <f t="shared" si="8"/>
        <v>#REF!</v>
      </c>
      <c r="H24" s="72" t="e">
        <f t="shared" si="8"/>
        <v>#REF!</v>
      </c>
      <c r="I24" s="72" t="e">
        <f t="shared" si="8"/>
        <v>#REF!</v>
      </c>
      <c r="J24" s="72" t="e">
        <f t="shared" si="8"/>
        <v>#REF!</v>
      </c>
      <c r="K24" s="72" t="e">
        <f t="shared" si="8"/>
        <v>#REF!</v>
      </c>
      <c r="L24" s="72" t="e">
        <f t="shared" si="8"/>
        <v>#REF!</v>
      </c>
      <c r="M24" s="72" t="e">
        <f t="shared" si="8"/>
        <v>#REF!</v>
      </c>
      <c r="N24" s="72" t="e">
        <f t="shared" si="8"/>
        <v>#REF!</v>
      </c>
      <c r="O24" s="72" t="e">
        <f t="shared" si="8"/>
        <v>#REF!</v>
      </c>
      <c r="P24" s="72" t="e">
        <f t="shared" si="8"/>
        <v>#REF!</v>
      </c>
      <c r="Q24" s="72" t="e">
        <f t="shared" si="8"/>
        <v>#REF!</v>
      </c>
      <c r="R24" s="72" t="e">
        <f t="shared" si="8"/>
        <v>#REF!</v>
      </c>
      <c r="S24" s="72" t="e">
        <f t="shared" si="8"/>
        <v>#REF!</v>
      </c>
      <c r="T24" s="72" t="e">
        <f t="shared" si="8"/>
        <v>#REF!</v>
      </c>
      <c r="U24" s="72" t="e">
        <f t="shared" si="8"/>
        <v>#REF!</v>
      </c>
      <c r="V24" s="72" t="e">
        <f t="shared" si="8"/>
        <v>#REF!</v>
      </c>
      <c r="W24" s="72" t="e">
        <f t="shared" si="8"/>
        <v>#REF!</v>
      </c>
      <c r="X24" s="72" t="e">
        <f t="shared" si="8"/>
        <v>#REF!</v>
      </c>
      <c r="Y24" s="72" t="e">
        <f t="shared" si="8"/>
        <v>#REF!</v>
      </c>
      <c r="Z24" s="72" t="e">
        <f t="shared" si="8"/>
        <v>#REF!</v>
      </c>
      <c r="AA24" s="72" t="e">
        <f t="shared" si="8"/>
        <v>#REF!</v>
      </c>
      <c r="AB24" s="72" t="e">
        <f t="shared" si="8"/>
        <v>#REF!</v>
      </c>
      <c r="AC24" s="72" t="e">
        <f t="shared" si="8"/>
        <v>#REF!</v>
      </c>
      <c r="AD24" s="28">
        <f t="shared" si="8"/>
        <v>636764.26334803388</v>
      </c>
      <c r="AE24" s="28">
        <f t="shared" si="8"/>
        <v>871461.3516910132</v>
      </c>
      <c r="AF24" s="28">
        <f t="shared" si="8"/>
        <v>1131583.0869171652</v>
      </c>
      <c r="AG24" s="28">
        <f t="shared" si="8"/>
        <v>1030311.8681924263</v>
      </c>
      <c r="AH24" s="28">
        <f t="shared" si="8"/>
        <v>1357985.3949948989</v>
      </c>
      <c r="AI24" s="28">
        <f t="shared" ref="AI24:BA24" si="9">SUM(AI21:AI23)</f>
        <v>1562538.0853437192</v>
      </c>
      <c r="AJ24" s="28">
        <f t="shared" si="9"/>
        <v>1380420.4142798455</v>
      </c>
      <c r="AK24" s="28">
        <f t="shared" si="9"/>
        <v>1569761.0760832233</v>
      </c>
      <c r="AL24" s="28">
        <f t="shared" si="9"/>
        <v>1804465.4558683506</v>
      </c>
      <c r="AM24" s="28">
        <f t="shared" si="9"/>
        <v>1520848.8169043448</v>
      </c>
      <c r="AN24" s="28">
        <f t="shared" si="9"/>
        <v>1679764.2813100931</v>
      </c>
      <c r="AO24" s="28">
        <f t="shared" si="9"/>
        <v>1899536.9224000515</v>
      </c>
      <c r="AP24" s="72">
        <f t="shared" si="9"/>
        <v>1927180.9163795463</v>
      </c>
      <c r="AQ24" s="72">
        <f t="shared" si="9"/>
        <v>2190603.7534151538</v>
      </c>
      <c r="AR24" s="72">
        <f t="shared" si="9"/>
        <v>2478524.7873557229</v>
      </c>
      <c r="AS24" s="72">
        <f t="shared" si="9"/>
        <v>2459680.9401779026</v>
      </c>
      <c r="AT24" s="72">
        <f t="shared" si="9"/>
        <v>2816079.6256817328</v>
      </c>
      <c r="AU24" s="72">
        <f t="shared" si="9"/>
        <v>3051484.453336888</v>
      </c>
      <c r="AV24" s="72">
        <f t="shared" si="9"/>
        <v>2952469.0879321876</v>
      </c>
      <c r="AW24" s="72">
        <f t="shared" si="9"/>
        <v>3168681.8474562881</v>
      </c>
      <c r="AX24" s="72">
        <f t="shared" si="9"/>
        <v>3432110.6441667923</v>
      </c>
      <c r="AY24" s="72">
        <f t="shared" si="9"/>
        <v>3217629.3209248516</v>
      </c>
      <c r="AZ24" s="72">
        <f t="shared" si="9"/>
        <v>3401563.8496548324</v>
      </c>
      <c r="BA24" s="72">
        <f t="shared" si="9"/>
        <v>3650060.3831636198</v>
      </c>
    </row>
    <row r="25" spans="1:53" ht="12.75" customHeight="1" x14ac:dyDescent="0.25">
      <c r="B25" s="61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</row>
    <row r="26" spans="1:53" ht="12.75" customHeight="1" x14ac:dyDescent="0.25">
      <c r="B26" s="61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</row>
    <row r="27" spans="1:53" ht="12.75" customHeight="1" x14ac:dyDescent="0.35">
      <c r="A27" s="26" t="s">
        <v>210</v>
      </c>
      <c r="B27" s="61"/>
      <c r="C27" s="45">
        <f t="shared" ref="C27:AH27" si="10">C18-C24</f>
        <v>0</v>
      </c>
      <c r="D27" s="45">
        <f t="shared" si="10"/>
        <v>0</v>
      </c>
      <c r="E27" s="45" t="e">
        <f t="shared" si="10"/>
        <v>#REF!</v>
      </c>
      <c r="F27" s="45" t="e">
        <f t="shared" si="10"/>
        <v>#REF!</v>
      </c>
      <c r="G27" s="45" t="e">
        <f t="shared" si="10"/>
        <v>#REF!</v>
      </c>
      <c r="H27" s="45" t="e">
        <f t="shared" si="10"/>
        <v>#REF!</v>
      </c>
      <c r="I27" s="45" t="e">
        <f t="shared" si="10"/>
        <v>#REF!</v>
      </c>
      <c r="J27" s="45" t="e">
        <f t="shared" si="10"/>
        <v>#REF!</v>
      </c>
      <c r="K27" s="45" t="e">
        <f t="shared" si="10"/>
        <v>#REF!</v>
      </c>
      <c r="L27" s="45" t="e">
        <f t="shared" si="10"/>
        <v>#REF!</v>
      </c>
      <c r="M27" s="45" t="e">
        <f t="shared" si="10"/>
        <v>#REF!</v>
      </c>
      <c r="N27" s="45" t="e">
        <f t="shared" si="10"/>
        <v>#REF!</v>
      </c>
      <c r="O27" s="45" t="e">
        <f t="shared" si="10"/>
        <v>#REF!</v>
      </c>
      <c r="P27" s="45" t="e">
        <f t="shared" si="10"/>
        <v>#REF!</v>
      </c>
      <c r="Q27" s="45" t="e">
        <f t="shared" si="10"/>
        <v>#REF!</v>
      </c>
      <c r="R27" s="45" t="e">
        <f t="shared" si="10"/>
        <v>#REF!</v>
      </c>
      <c r="S27" s="45" t="e">
        <f t="shared" si="10"/>
        <v>#REF!</v>
      </c>
      <c r="T27" s="45" t="e">
        <f t="shared" si="10"/>
        <v>#REF!</v>
      </c>
      <c r="U27" s="45" t="e">
        <f t="shared" si="10"/>
        <v>#REF!</v>
      </c>
      <c r="V27" s="45" t="e">
        <f t="shared" si="10"/>
        <v>#REF!</v>
      </c>
      <c r="W27" s="45" t="e">
        <f t="shared" si="10"/>
        <v>#REF!</v>
      </c>
      <c r="X27" s="45" t="e">
        <f t="shared" si="10"/>
        <v>#REF!</v>
      </c>
      <c r="Y27" s="45" t="e">
        <f t="shared" si="10"/>
        <v>#REF!</v>
      </c>
      <c r="Z27" s="45" t="e">
        <f t="shared" si="10"/>
        <v>#REF!</v>
      </c>
      <c r="AA27" s="45" t="e">
        <f t="shared" si="10"/>
        <v>#REF!</v>
      </c>
      <c r="AB27" s="45" t="e">
        <f t="shared" si="10"/>
        <v>#REF!</v>
      </c>
      <c r="AC27" s="45" t="e">
        <f t="shared" si="10"/>
        <v>#REF!</v>
      </c>
      <c r="AD27" s="25">
        <f t="shared" si="10"/>
        <v>1300993.7275226598</v>
      </c>
      <c r="AE27" s="25">
        <f t="shared" si="10"/>
        <v>1482148.3938463475</v>
      </c>
      <c r="AF27" s="25">
        <f t="shared" si="10"/>
        <v>1704158.0952868625</v>
      </c>
      <c r="AG27" s="25">
        <f t="shared" si="10"/>
        <v>2022323.7390922573</v>
      </c>
      <c r="AH27" s="25">
        <f t="shared" si="10"/>
        <v>2340488.3242064519</v>
      </c>
      <c r="AI27" s="25">
        <f t="shared" ref="AI27:BA27" si="11">AI18-AI24</f>
        <v>2480598.9442742979</v>
      </c>
      <c r="AJ27" s="25">
        <f t="shared" si="11"/>
        <v>2639739.4161465694</v>
      </c>
      <c r="AK27" s="25">
        <f t="shared" si="11"/>
        <v>2760817.1303848587</v>
      </c>
      <c r="AL27" s="25">
        <f t="shared" si="11"/>
        <v>2941964.5052663982</v>
      </c>
      <c r="AM27" s="25">
        <f t="shared" si="11"/>
        <v>2872731.5012888014</v>
      </c>
      <c r="AN27" s="25">
        <f t="shared" si="11"/>
        <v>2955744.5441747191</v>
      </c>
      <c r="AO27" s="25">
        <f t="shared" si="11"/>
        <v>3114880.1478764275</v>
      </c>
      <c r="AP27" s="45">
        <f t="shared" si="11"/>
        <v>3316716.0160803297</v>
      </c>
      <c r="AQ27" s="45">
        <f t="shared" si="11"/>
        <v>3540173.6837113895</v>
      </c>
      <c r="AR27" s="45">
        <f t="shared" si="11"/>
        <v>3803121.586437488</v>
      </c>
      <c r="AS27" s="45">
        <f t="shared" si="11"/>
        <v>4163590.6281737061</v>
      </c>
      <c r="AT27" s="45">
        <f t="shared" si="11"/>
        <v>4524058.8045865428</v>
      </c>
      <c r="AU27" s="45">
        <f t="shared" si="11"/>
        <v>4709607.9810980549</v>
      </c>
      <c r="AV27" s="45">
        <f t="shared" si="11"/>
        <v>4915702.18888993</v>
      </c>
      <c r="AW27" s="45">
        <f t="shared" si="11"/>
        <v>5076354.0554074962</v>
      </c>
      <c r="AX27" s="45">
        <f t="shared" si="11"/>
        <v>5299805.7633636594</v>
      </c>
      <c r="AY27" s="45">
        <f t="shared" si="11"/>
        <v>5256497.2702427749</v>
      </c>
      <c r="AZ27" s="45">
        <f t="shared" si="11"/>
        <v>5376354.9988044612</v>
      </c>
      <c r="BA27" s="45">
        <f t="shared" si="11"/>
        <v>5577795.4600873403</v>
      </c>
    </row>
    <row r="28" spans="1:53" ht="12.75" customHeight="1" x14ac:dyDescent="0.25">
      <c r="B28" s="61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</row>
    <row r="29" spans="1:53" ht="12.75" customHeight="1" x14ac:dyDescent="0.25">
      <c r="B29" s="61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</row>
    <row r="30" spans="1:53" ht="15" customHeight="1" x14ac:dyDescent="0.35">
      <c r="A30" s="26" t="s">
        <v>211</v>
      </c>
      <c r="B30" s="61"/>
      <c r="C30" s="73">
        <f t="shared" ref="C30:AH30" si="12">C27+C12</f>
        <v>19666.666666666668</v>
      </c>
      <c r="D30" s="73">
        <f t="shared" si="12"/>
        <v>19338.888888888891</v>
      </c>
      <c r="E30" s="73" t="e">
        <f t="shared" si="12"/>
        <v>#REF!</v>
      </c>
      <c r="F30" s="73" t="e">
        <f t="shared" si="12"/>
        <v>#REF!</v>
      </c>
      <c r="G30" s="73" t="e">
        <f t="shared" si="12"/>
        <v>#REF!</v>
      </c>
      <c r="H30" s="73" t="e">
        <f t="shared" si="12"/>
        <v>#REF!</v>
      </c>
      <c r="I30" s="73" t="e">
        <f t="shared" si="12"/>
        <v>#REF!</v>
      </c>
      <c r="J30" s="73" t="e">
        <f t="shared" si="12"/>
        <v>#REF!</v>
      </c>
      <c r="K30" s="73" t="e">
        <f t="shared" si="12"/>
        <v>#REF!</v>
      </c>
      <c r="L30" s="73" t="e">
        <f t="shared" si="12"/>
        <v>#REF!</v>
      </c>
      <c r="M30" s="73" t="e">
        <f t="shared" si="12"/>
        <v>#REF!</v>
      </c>
      <c r="N30" s="73" t="e">
        <f t="shared" si="12"/>
        <v>#REF!</v>
      </c>
      <c r="O30" s="73" t="e">
        <f t="shared" si="12"/>
        <v>#REF!</v>
      </c>
      <c r="P30" s="73" t="e">
        <f t="shared" si="12"/>
        <v>#REF!</v>
      </c>
      <c r="Q30" s="73" t="e">
        <f t="shared" si="12"/>
        <v>#REF!</v>
      </c>
      <c r="R30" s="73" t="e">
        <f t="shared" si="12"/>
        <v>#REF!</v>
      </c>
      <c r="S30" s="73" t="e">
        <f t="shared" si="12"/>
        <v>#REF!</v>
      </c>
      <c r="T30" s="73" t="e">
        <f t="shared" si="12"/>
        <v>#REF!</v>
      </c>
      <c r="U30" s="73" t="e">
        <f t="shared" si="12"/>
        <v>#REF!</v>
      </c>
      <c r="V30" s="73" t="e">
        <f t="shared" si="12"/>
        <v>#REF!</v>
      </c>
      <c r="W30" s="73" t="e">
        <f t="shared" si="12"/>
        <v>#REF!</v>
      </c>
      <c r="X30" s="73" t="e">
        <f t="shared" si="12"/>
        <v>#REF!</v>
      </c>
      <c r="Y30" s="73" t="e">
        <f t="shared" si="12"/>
        <v>#REF!</v>
      </c>
      <c r="Z30" s="73" t="e">
        <f t="shared" si="12"/>
        <v>#REF!</v>
      </c>
      <c r="AA30" s="73" t="e">
        <f t="shared" si="12"/>
        <v>#REF!</v>
      </c>
      <c r="AB30" s="73" t="e">
        <f t="shared" si="12"/>
        <v>#REF!</v>
      </c>
      <c r="AC30" s="73" t="e">
        <f t="shared" si="12"/>
        <v>#REF!</v>
      </c>
      <c r="AD30" s="47">
        <f t="shared" si="12"/>
        <v>1314132.3255934585</v>
      </c>
      <c r="AE30" s="47">
        <f t="shared" si="12"/>
        <v>1495068.0152826328</v>
      </c>
      <c r="AF30" s="47">
        <f t="shared" si="12"/>
        <v>1716862.3896992097</v>
      </c>
      <c r="AG30" s="47">
        <f t="shared" si="12"/>
        <v>2034816.2952643989</v>
      </c>
      <c r="AH30" s="47">
        <f t="shared" si="12"/>
        <v>2352772.6711090575</v>
      </c>
      <c r="AI30" s="47">
        <f t="shared" ref="AI30:BA30" si="13">AI27+AI12</f>
        <v>2492678.5520618604</v>
      </c>
      <c r="AJ30" s="47">
        <f t="shared" si="13"/>
        <v>2651617.6971376725</v>
      </c>
      <c r="AK30" s="47">
        <f t="shared" si="13"/>
        <v>2772497.44002611</v>
      </c>
      <c r="AL30" s="47">
        <f t="shared" si="13"/>
        <v>2953450.1430802955</v>
      </c>
      <c r="AM30" s="47">
        <f t="shared" si="13"/>
        <v>2884025.7118058004</v>
      </c>
      <c r="AN30" s="47">
        <f t="shared" si="13"/>
        <v>2966850.517849768</v>
      </c>
      <c r="AO30" s="47">
        <f t="shared" si="13"/>
        <v>3125801.0219902257</v>
      </c>
      <c r="AP30" s="73">
        <f t="shared" si="13"/>
        <v>3327454.8756255643</v>
      </c>
      <c r="AQ30" s="73">
        <f t="shared" si="13"/>
        <v>3550733.5622642036</v>
      </c>
      <c r="AR30" s="73">
        <f t="shared" si="13"/>
        <v>3813505.4670144217</v>
      </c>
      <c r="AS30" s="73">
        <f t="shared" si="13"/>
        <v>4173801.4440743579</v>
      </c>
      <c r="AT30" s="73">
        <f t="shared" si="13"/>
        <v>4534099.4402221832</v>
      </c>
      <c r="AU30" s="73">
        <f t="shared" si="13"/>
        <v>4719481.2728064349</v>
      </c>
      <c r="AV30" s="73">
        <f t="shared" si="13"/>
        <v>4925410.9257365037</v>
      </c>
      <c r="AW30" s="73">
        <f t="shared" si="13"/>
        <v>5085900.9799732938</v>
      </c>
      <c r="AX30" s="73">
        <f t="shared" si="13"/>
        <v>5309193.5725200269</v>
      </c>
      <c r="AY30" s="73">
        <f t="shared" si="13"/>
        <v>5265728.615913203</v>
      </c>
      <c r="AZ30" s="73">
        <f t="shared" si="13"/>
        <v>5385432.4887137152</v>
      </c>
      <c r="BA30" s="73">
        <f t="shared" si="13"/>
        <v>5586721.6584981075</v>
      </c>
    </row>
    <row r="31" spans="1:53" ht="12.75" customHeight="1" x14ac:dyDescent="0.25">
      <c r="B31" s="61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</row>
    <row r="32" spans="1:53" ht="12.75" customHeight="1" x14ac:dyDescent="0.25"/>
    <row r="33" spans="1:53" ht="12.75" customHeight="1" x14ac:dyDescent="0.35">
      <c r="B33" s="27" t="s">
        <v>212</v>
      </c>
      <c r="C33" s="25">
        <f>'Cashflow Workings'!C8</f>
        <v>0</v>
      </c>
      <c r="D33" s="25">
        <f>C33+'Cashflow Workings'!D8</f>
        <v>0</v>
      </c>
      <c r="E33" s="25" t="e">
        <f>D33+'Cashflow Workings'!#REF!</f>
        <v>#REF!</v>
      </c>
      <c r="F33" s="25" t="e">
        <f>E33+'Cashflow Workings'!E8</f>
        <v>#REF!</v>
      </c>
      <c r="G33" s="25" t="e">
        <f>F33+'Cashflow Workings'!G8</f>
        <v>#REF!</v>
      </c>
      <c r="H33" s="25" t="e">
        <f>G33+'Cashflow Workings'!H8</f>
        <v>#REF!</v>
      </c>
      <c r="I33" s="25" t="e">
        <f>H33+'Cashflow Workings'!I8</f>
        <v>#REF!</v>
      </c>
      <c r="J33" s="25" t="e">
        <f>I33+'Cashflow Workings'!J8</f>
        <v>#REF!</v>
      </c>
      <c r="K33" s="25" t="e">
        <f>J33+'Cashflow Workings'!K8</f>
        <v>#REF!</v>
      </c>
      <c r="L33" s="25" t="e">
        <f>K33+'Cashflow Workings'!L8</f>
        <v>#REF!</v>
      </c>
      <c r="M33" s="25" t="e">
        <f>L33+'Cashflow Workings'!M8</f>
        <v>#REF!</v>
      </c>
      <c r="N33" s="25" t="e">
        <f>M33+'Cashflow Workings'!N8</f>
        <v>#REF!</v>
      </c>
      <c r="O33" s="25" t="e">
        <f>N33+'Cashflow Workings'!O8</f>
        <v>#REF!</v>
      </c>
      <c r="P33" s="25" t="e">
        <f>O33+'Cashflow Workings'!P8</f>
        <v>#REF!</v>
      </c>
      <c r="Q33" s="25" t="e">
        <f>P33+'Cashflow Workings'!Q8</f>
        <v>#REF!</v>
      </c>
      <c r="R33" s="25" t="e">
        <f>Q33+'Cashflow Workings'!R8</f>
        <v>#REF!</v>
      </c>
      <c r="S33" s="25" t="e">
        <f>R33+'Cashflow Workings'!S8</f>
        <v>#REF!</v>
      </c>
      <c r="T33" s="25" t="e">
        <f>S33+'Cashflow Workings'!T8</f>
        <v>#REF!</v>
      </c>
      <c r="U33" s="25" t="e">
        <f>T33+'Cashflow Workings'!U8</f>
        <v>#REF!</v>
      </c>
      <c r="V33" s="25" t="e">
        <f>U33+'Cashflow Workings'!V8</f>
        <v>#REF!</v>
      </c>
      <c r="W33" s="25" t="e">
        <f>V33+'Cashflow Workings'!W8</f>
        <v>#REF!</v>
      </c>
      <c r="X33" s="25" t="e">
        <f>W33+'Cashflow Workings'!X8</f>
        <v>#REF!</v>
      </c>
      <c r="Y33" s="25" t="e">
        <f>X33+'Cashflow Workings'!Y8</f>
        <v>#REF!</v>
      </c>
      <c r="Z33" s="25" t="e">
        <f>Y33+'Cashflow Workings'!Z8</f>
        <v>#REF!</v>
      </c>
      <c r="AA33" s="25" t="e">
        <f>Z33+'Cashflow Workings'!AA8</f>
        <v>#REF!</v>
      </c>
      <c r="AB33" s="25" t="e">
        <f>AA33+'Cashflow Workings'!AB8</f>
        <v>#REF!</v>
      </c>
      <c r="AC33" s="25" t="e">
        <f>AB33+'Cashflow Workings'!AC8</f>
        <v>#REF!</v>
      </c>
      <c r="AD33" s="25" t="e">
        <f>AC33+'Cashflow Workings'!AD8</f>
        <v>#REF!</v>
      </c>
      <c r="AE33" s="25" t="e">
        <f>AD33+'Cashflow Workings'!AE8</f>
        <v>#REF!</v>
      </c>
      <c r="AF33" s="25" t="e">
        <f>AE33+'Cashflow Workings'!AF8</f>
        <v>#REF!</v>
      </c>
      <c r="AG33" s="25" t="e">
        <f>AF33+'Cashflow Workings'!AG8</f>
        <v>#REF!</v>
      </c>
      <c r="AH33" s="25" t="e">
        <f>AG33+'Cashflow Workings'!AH8</f>
        <v>#REF!</v>
      </c>
      <c r="AI33" s="25" t="e">
        <f>AH33+'Cashflow Workings'!AI8</f>
        <v>#REF!</v>
      </c>
      <c r="AJ33" s="25" t="e">
        <f>AI33+'Cashflow Workings'!AJ8</f>
        <v>#REF!</v>
      </c>
      <c r="AK33" s="25" t="e">
        <f>AJ33+'Cashflow Workings'!AK8</f>
        <v>#REF!</v>
      </c>
      <c r="AL33" s="25" t="e">
        <f>AK33+'Cashflow Workings'!AL8</f>
        <v>#REF!</v>
      </c>
      <c r="AM33" s="25" t="e">
        <f>AL33+'Cashflow Workings'!AM8</f>
        <v>#REF!</v>
      </c>
      <c r="AN33" s="25" t="e">
        <f>AM33+'Cashflow Workings'!AN8</f>
        <v>#REF!</v>
      </c>
      <c r="AO33" s="25" t="e">
        <f>AN33+'Cashflow Workings'!AO8</f>
        <v>#REF!</v>
      </c>
      <c r="AP33" s="25" t="e">
        <f>AO33+'Cashflow Workings'!AP8</f>
        <v>#REF!</v>
      </c>
      <c r="AQ33" s="25" t="e">
        <f>AP33+'Cashflow Workings'!AQ8</f>
        <v>#REF!</v>
      </c>
      <c r="AR33" s="25" t="e">
        <f>AQ33+'Cashflow Workings'!AR8</f>
        <v>#REF!</v>
      </c>
      <c r="AS33" s="25" t="e">
        <f>AR33+'Cashflow Workings'!AS8</f>
        <v>#REF!</v>
      </c>
      <c r="AT33" s="25" t="e">
        <f>AS33+'Cashflow Workings'!AT8</f>
        <v>#REF!</v>
      </c>
      <c r="AU33" s="25" t="e">
        <f>AT33+'Cashflow Workings'!AU8</f>
        <v>#REF!</v>
      </c>
      <c r="AV33" s="25" t="e">
        <f>AU33+'Cashflow Workings'!AV8</f>
        <v>#REF!</v>
      </c>
      <c r="AW33" s="25" t="e">
        <f>AV33+'Cashflow Workings'!AW8</f>
        <v>#REF!</v>
      </c>
      <c r="AX33" s="25" t="e">
        <f>AW33+'Cashflow Workings'!AX8</f>
        <v>#REF!</v>
      </c>
      <c r="AY33" s="25" t="e">
        <f>AX33+'Cashflow Workings'!AY8</f>
        <v>#REF!</v>
      </c>
      <c r="AZ33" s="25" t="e">
        <f>AY33+'Cashflow Workings'!AZ8</f>
        <v>#REF!</v>
      </c>
      <c r="BA33" s="25" t="e">
        <f>AZ33+'Cashflow Workings'!BA8</f>
        <v>#REF!</v>
      </c>
    </row>
    <row r="34" spans="1:53" ht="12.75" customHeight="1" x14ac:dyDescent="0.25"/>
    <row r="35" spans="1:53" ht="12.75" customHeight="1" x14ac:dyDescent="0.35">
      <c r="B35" s="71" t="s">
        <v>213</v>
      </c>
      <c r="C35" s="25">
        <f>P_L!C80</f>
        <v>0</v>
      </c>
      <c r="D35" s="25">
        <f>C35+P_L!D80</f>
        <v>0</v>
      </c>
      <c r="E35" s="25">
        <f>D35+P_L!E80</f>
        <v>-426103.36856410257</v>
      </c>
      <c r="F35" s="25">
        <f>E35+P_L!F80</f>
        <v>-437937.23956410389</v>
      </c>
      <c r="G35" s="25">
        <f>F35+P_L!G80</f>
        <v>-414061.39600558463</v>
      </c>
      <c r="H35" s="25">
        <f>G35+P_L!H80</f>
        <v>-334874.75180542917</v>
      </c>
      <c r="I35" s="25">
        <f>H35+P_L!I80</f>
        <v>-175912.42474465817</v>
      </c>
      <c r="J35" s="25">
        <f>I35+P_L!J80</f>
        <v>-16514.579882964725</v>
      </c>
      <c r="K35" s="25">
        <f>J35+P_L!K80</f>
        <v>-5917.8694722990967</v>
      </c>
      <c r="L35" s="25">
        <f>K35+P_L!L80</f>
        <v>20135.652130491704</v>
      </c>
      <c r="M35" s="25">
        <f>L35+P_L!M80</f>
        <v>16600.655051970713</v>
      </c>
      <c r="N35" s="25">
        <f>M35+P_L!N80</f>
        <v>66234.699891360913</v>
      </c>
      <c r="O35" s="25">
        <f>N35+P_L!O80</f>
        <v>-86565.248789260717</v>
      </c>
      <c r="P35" s="25">
        <f>O35+P_L!P80</f>
        <v>-118785.57797382656</v>
      </c>
      <c r="Q35" s="25">
        <f>P35+P_L!Q80</f>
        <v>-90487.545700199276</v>
      </c>
      <c r="R35" s="25">
        <f>Q35+P_L!R80</f>
        <v>-32170.49556714925</v>
      </c>
      <c r="S35" s="25">
        <f>R35+P_L!S80</f>
        <v>60748.385359608626</v>
      </c>
      <c r="T35" s="25">
        <f>S35+P_L!T80</f>
        <v>214455.13964232121</v>
      </c>
      <c r="U35" s="25">
        <f>T35+P_L!U80</f>
        <v>462674.5345670447</v>
      </c>
      <c r="V35" s="25">
        <f>U35+P_L!V80</f>
        <v>711362.29524043389</v>
      </c>
      <c r="W35" s="25">
        <f>V35+P_L!W80</f>
        <v>789078.03568747465</v>
      </c>
      <c r="X35" s="25">
        <f>W35+P_L!X80</f>
        <v>884338.83995015861</v>
      </c>
      <c r="Y35" s="25">
        <f>X35+P_L!Y80</f>
        <v>945934.71518709906</v>
      </c>
      <c r="Z35" s="25">
        <f>Y35+P_L!Z80</f>
        <v>1062611.4057740921</v>
      </c>
      <c r="AA35" s="25">
        <f>Z35+P_L!AA80</f>
        <v>937389.44740562083</v>
      </c>
      <c r="AB35" s="25">
        <f>AA35+P_L!AB80</f>
        <v>983362.92019730422</v>
      </c>
      <c r="AC35" s="25">
        <f>AB35+P_L!AC80</f>
        <v>1081038.0567892909</v>
      </c>
      <c r="AD35" s="25">
        <f>AC35+P_L!AD80</f>
        <v>1222489.4684505977</v>
      </c>
      <c r="AE35" s="25">
        <f>AD35+P_L!AE80</f>
        <v>1403425.1581397718</v>
      </c>
      <c r="AF35" s="25">
        <f>AE35+P_L!AF80</f>
        <v>1625219.5325563487</v>
      </c>
      <c r="AG35" s="25">
        <f>AF35+P_L!AG80</f>
        <v>1943173.4381215381</v>
      </c>
      <c r="AH35" s="25">
        <f>AG35+P_L!AH80</f>
        <v>2261129.8139661965</v>
      </c>
      <c r="AI35" s="25">
        <f>AH35+P_L!AI80</f>
        <v>2401035.6949189994</v>
      </c>
      <c r="AJ35" s="25">
        <f>AI35+P_L!AJ80</f>
        <v>2559974.8399948115</v>
      </c>
      <c r="AK35" s="25">
        <f>AJ35+P_L!AK80</f>
        <v>2680854.5828832486</v>
      </c>
      <c r="AL35" s="25">
        <f>AK35+P_L!AL80</f>
        <v>2861807.2859374341</v>
      </c>
      <c r="AM35" s="25">
        <f>AL35+P_L!AM80</f>
        <v>2792382.8546629385</v>
      </c>
      <c r="AN35" s="25">
        <f>AM35+P_L!AN80</f>
        <v>2875207.660706907</v>
      </c>
      <c r="AO35" s="25">
        <f>AN35+P_L!AO80</f>
        <v>3034158.1648473651</v>
      </c>
      <c r="AP35" s="25">
        <f>AO35+P_L!AP80</f>
        <v>3235812.0184827042</v>
      </c>
      <c r="AQ35" s="25">
        <f>AP35+P_L!AQ80</f>
        <v>3459090.705121343</v>
      </c>
      <c r="AR35" s="25">
        <f>AQ35+P_L!AR80</f>
        <v>3721862.6098715602</v>
      </c>
      <c r="AS35" s="25">
        <f>AR35+P_L!AS80</f>
        <v>4082158.5869314959</v>
      </c>
      <c r="AT35" s="25">
        <f>AS35+P_L!AT80</f>
        <v>4442456.5830793222</v>
      </c>
      <c r="AU35" s="25">
        <f>AT35+P_L!AU80</f>
        <v>4627838.415663573</v>
      </c>
      <c r="AV35" s="25">
        <f>AU35+P_L!AV80</f>
        <v>4833768.0685936417</v>
      </c>
      <c r="AW35" s="25">
        <f>AV35+P_L!AW80</f>
        <v>4994258.1228304319</v>
      </c>
      <c r="AX35" s="25">
        <f>AW35+P_L!AX80</f>
        <v>5217550.7153771641</v>
      </c>
      <c r="AY35" s="25">
        <f>AX35+P_L!AY80</f>
        <v>5174085.7587703401</v>
      </c>
      <c r="AZ35" s="25">
        <f>AY35+P_L!AZ80</f>
        <v>5293789.6315708524</v>
      </c>
      <c r="BA35" s="25">
        <f>AZ35+P_L!BA80</f>
        <v>5495078.8013552446</v>
      </c>
    </row>
    <row r="36" spans="1:53" ht="12.75" customHeight="1" x14ac:dyDescent="0.25"/>
    <row r="37" spans="1:53" ht="14.25" customHeight="1" x14ac:dyDescent="0.35">
      <c r="A37" s="26" t="s">
        <v>214</v>
      </c>
      <c r="C37" s="47">
        <f t="shared" ref="C37:AH37" si="14">SUM(C33:C35)</f>
        <v>0</v>
      </c>
      <c r="D37" s="47">
        <f t="shared" si="14"/>
        <v>0</v>
      </c>
      <c r="E37" s="47" t="e">
        <f t="shared" si="14"/>
        <v>#REF!</v>
      </c>
      <c r="F37" s="47" t="e">
        <f t="shared" si="14"/>
        <v>#REF!</v>
      </c>
      <c r="G37" s="47" t="e">
        <f t="shared" si="14"/>
        <v>#REF!</v>
      </c>
      <c r="H37" s="47" t="e">
        <f t="shared" si="14"/>
        <v>#REF!</v>
      </c>
      <c r="I37" s="47" t="e">
        <f t="shared" si="14"/>
        <v>#REF!</v>
      </c>
      <c r="J37" s="47" t="e">
        <f t="shared" si="14"/>
        <v>#REF!</v>
      </c>
      <c r="K37" s="47" t="e">
        <f t="shared" si="14"/>
        <v>#REF!</v>
      </c>
      <c r="L37" s="47" t="e">
        <f t="shared" si="14"/>
        <v>#REF!</v>
      </c>
      <c r="M37" s="47" t="e">
        <f t="shared" si="14"/>
        <v>#REF!</v>
      </c>
      <c r="N37" s="47" t="e">
        <f t="shared" si="14"/>
        <v>#REF!</v>
      </c>
      <c r="O37" s="47" t="e">
        <f t="shared" si="14"/>
        <v>#REF!</v>
      </c>
      <c r="P37" s="47" t="e">
        <f t="shared" si="14"/>
        <v>#REF!</v>
      </c>
      <c r="Q37" s="47" t="e">
        <f t="shared" si="14"/>
        <v>#REF!</v>
      </c>
      <c r="R37" s="47" t="e">
        <f t="shared" si="14"/>
        <v>#REF!</v>
      </c>
      <c r="S37" s="47" t="e">
        <f t="shared" si="14"/>
        <v>#REF!</v>
      </c>
      <c r="T37" s="47" t="e">
        <f t="shared" si="14"/>
        <v>#REF!</v>
      </c>
      <c r="U37" s="47" t="e">
        <f t="shared" si="14"/>
        <v>#REF!</v>
      </c>
      <c r="V37" s="47" t="e">
        <f t="shared" si="14"/>
        <v>#REF!</v>
      </c>
      <c r="W37" s="47" t="e">
        <f t="shared" si="14"/>
        <v>#REF!</v>
      </c>
      <c r="X37" s="47" t="e">
        <f t="shared" si="14"/>
        <v>#REF!</v>
      </c>
      <c r="Y37" s="47" t="e">
        <f t="shared" si="14"/>
        <v>#REF!</v>
      </c>
      <c r="Z37" s="47" t="e">
        <f t="shared" si="14"/>
        <v>#REF!</v>
      </c>
      <c r="AA37" s="47" t="e">
        <f t="shared" si="14"/>
        <v>#REF!</v>
      </c>
      <c r="AB37" s="47" t="e">
        <f t="shared" si="14"/>
        <v>#REF!</v>
      </c>
      <c r="AC37" s="47" t="e">
        <f t="shared" si="14"/>
        <v>#REF!</v>
      </c>
      <c r="AD37" s="47" t="e">
        <f t="shared" si="14"/>
        <v>#REF!</v>
      </c>
      <c r="AE37" s="47" t="e">
        <f t="shared" si="14"/>
        <v>#REF!</v>
      </c>
      <c r="AF37" s="47" t="e">
        <f t="shared" si="14"/>
        <v>#REF!</v>
      </c>
      <c r="AG37" s="47" t="e">
        <f t="shared" si="14"/>
        <v>#REF!</v>
      </c>
      <c r="AH37" s="47" t="e">
        <f t="shared" si="14"/>
        <v>#REF!</v>
      </c>
      <c r="AI37" s="47" t="e">
        <f t="shared" ref="AI37:BA37" si="15">SUM(AI33:AI35)</f>
        <v>#REF!</v>
      </c>
      <c r="AJ37" s="47" t="e">
        <f t="shared" si="15"/>
        <v>#REF!</v>
      </c>
      <c r="AK37" s="47" t="e">
        <f t="shared" si="15"/>
        <v>#REF!</v>
      </c>
      <c r="AL37" s="47" t="e">
        <f t="shared" si="15"/>
        <v>#REF!</v>
      </c>
      <c r="AM37" s="47" t="e">
        <f t="shared" si="15"/>
        <v>#REF!</v>
      </c>
      <c r="AN37" s="47" t="e">
        <f t="shared" si="15"/>
        <v>#REF!</v>
      </c>
      <c r="AO37" s="47" t="e">
        <f t="shared" si="15"/>
        <v>#REF!</v>
      </c>
      <c r="AP37" s="47" t="e">
        <f t="shared" si="15"/>
        <v>#REF!</v>
      </c>
      <c r="AQ37" s="47" t="e">
        <f t="shared" si="15"/>
        <v>#REF!</v>
      </c>
      <c r="AR37" s="47" t="e">
        <f t="shared" si="15"/>
        <v>#REF!</v>
      </c>
      <c r="AS37" s="47" t="e">
        <f t="shared" si="15"/>
        <v>#REF!</v>
      </c>
      <c r="AT37" s="47" t="e">
        <f t="shared" si="15"/>
        <v>#REF!</v>
      </c>
      <c r="AU37" s="47" t="e">
        <f t="shared" si="15"/>
        <v>#REF!</v>
      </c>
      <c r="AV37" s="47" t="e">
        <f t="shared" si="15"/>
        <v>#REF!</v>
      </c>
      <c r="AW37" s="47" t="e">
        <f t="shared" si="15"/>
        <v>#REF!</v>
      </c>
      <c r="AX37" s="47" t="e">
        <f t="shared" si="15"/>
        <v>#REF!</v>
      </c>
      <c r="AY37" s="47" t="e">
        <f t="shared" si="15"/>
        <v>#REF!</v>
      </c>
      <c r="AZ37" s="47" t="e">
        <f t="shared" si="15"/>
        <v>#REF!</v>
      </c>
      <c r="BA37" s="47" t="e">
        <f t="shared" si="15"/>
        <v>#REF!</v>
      </c>
    </row>
    <row r="38" spans="1:53" ht="12.75" customHeight="1" x14ac:dyDescent="0.25"/>
    <row r="39" spans="1:53" ht="12.75" customHeight="1" x14ac:dyDescent="0.25"/>
    <row r="40" spans="1:53" ht="12.75" customHeight="1" x14ac:dyDescent="0.25"/>
    <row r="41" spans="1:53" ht="12.75" customHeight="1" x14ac:dyDescent="0.25"/>
    <row r="42" spans="1:53" ht="12.75" customHeight="1" x14ac:dyDescent="0.25"/>
    <row r="43" spans="1:53" ht="12.75" customHeight="1" x14ac:dyDescent="0.25"/>
    <row r="44" spans="1:53" ht="12.75" customHeight="1" x14ac:dyDescent="0.25"/>
    <row r="45" spans="1:53" ht="12.75" customHeight="1" x14ac:dyDescent="0.25"/>
    <row r="46" spans="1:53" ht="12.75" customHeight="1" x14ac:dyDescent="0.25"/>
    <row r="47" spans="1:53" ht="12.75" customHeight="1" x14ac:dyDescent="0.25"/>
    <row r="48" spans="1:5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scale="59" firstPageNumber="0" orientation="landscape" horizontalDpi="300" verticalDpi="3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9"/>
  <sheetViews>
    <sheetView zoomScaleSheetLayoutView="75" workbookViewId="0">
      <selection activeCell="A2" sqref="A2"/>
    </sheetView>
  </sheetViews>
  <sheetFormatPr defaultColWidth="9.08984375" defaultRowHeight="12.5" x14ac:dyDescent="0.25"/>
  <cols>
    <col min="1" max="1" width="2.453125" style="1" customWidth="1"/>
    <col min="2" max="2" width="28.81640625" style="1" customWidth="1"/>
    <col min="3" max="41" width="0" style="25" hidden="1" customWidth="1"/>
    <col min="42" max="42" width="13.7265625" style="25" customWidth="1"/>
    <col min="43" max="43" width="13.26953125" style="25" customWidth="1"/>
    <col min="44" max="44" width="12.7265625" style="25" customWidth="1"/>
    <col min="45" max="45" width="13.453125" style="25" customWidth="1"/>
    <col min="46" max="46" width="14" style="25" customWidth="1"/>
    <col min="47" max="47" width="14.81640625" style="25" customWidth="1"/>
    <col min="48" max="48" width="14.7265625" style="25" customWidth="1"/>
    <col min="49" max="49" width="15.81640625" style="25" customWidth="1"/>
    <col min="50" max="50" width="14.453125" style="25" customWidth="1"/>
    <col min="51" max="51" width="15.26953125" style="25" customWidth="1"/>
    <col min="52" max="52" width="14.08984375" style="25" customWidth="1"/>
    <col min="53" max="53" width="14" style="25" customWidth="1"/>
    <col min="54" max="16384" width="9.08984375" style="1"/>
  </cols>
  <sheetData>
    <row r="1" spans="1:53" ht="15.5" x14ac:dyDescent="0.35">
      <c r="A1" s="26" t="s">
        <v>240</v>
      </c>
      <c r="B1" s="27"/>
    </row>
    <row r="2" spans="1:53" ht="15.5" x14ac:dyDescent="0.35">
      <c r="A2" s="26" t="s">
        <v>197</v>
      </c>
      <c r="B2" s="27"/>
    </row>
    <row r="3" spans="1:53" ht="15.5" x14ac:dyDescent="0.35">
      <c r="A3" s="26" t="s">
        <v>79</v>
      </c>
      <c r="B3" s="27"/>
      <c r="E3" s="60"/>
    </row>
    <row r="5" spans="1:53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</row>
    <row r="6" spans="1:53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</row>
    <row r="7" spans="1:53" ht="15.5" x14ac:dyDescent="0.35">
      <c r="A7" s="26" t="s">
        <v>199</v>
      </c>
    </row>
    <row r="8" spans="1:53" x14ac:dyDescent="0.25">
      <c r="B8" s="34" t="s">
        <v>200</v>
      </c>
      <c r="D8" s="25">
        <f t="shared" ref="D8:AO8" si="0">C12</f>
        <v>19666.666666666668</v>
      </c>
      <c r="E8" s="25">
        <f t="shared" si="0"/>
        <v>19338.888888888891</v>
      </c>
      <c r="F8" s="25">
        <f t="shared" si="0"/>
        <v>19016.574074074077</v>
      </c>
      <c r="G8" s="25">
        <f t="shared" si="0"/>
        <v>18699.631172839509</v>
      </c>
      <c r="H8" s="25">
        <f t="shared" si="0"/>
        <v>18387.970653292185</v>
      </c>
      <c r="I8" s="25">
        <f t="shared" si="0"/>
        <v>18081.504475737314</v>
      </c>
      <c r="J8" s="25">
        <f t="shared" si="0"/>
        <v>17780.14606780836</v>
      </c>
      <c r="K8" s="25">
        <f t="shared" si="0"/>
        <v>17483.810300011555</v>
      </c>
      <c r="L8" s="25">
        <f t="shared" si="0"/>
        <v>17192.413461678028</v>
      </c>
      <c r="M8" s="25">
        <f t="shared" si="0"/>
        <v>16905.87323731673</v>
      </c>
      <c r="N8" s="25">
        <f t="shared" si="0"/>
        <v>16624.10868336145</v>
      </c>
      <c r="O8" s="25">
        <f t="shared" si="0"/>
        <v>16347.040205305426</v>
      </c>
      <c r="P8" s="25">
        <f t="shared" si="0"/>
        <v>16074.589535217003</v>
      </c>
      <c r="Q8" s="25">
        <f t="shared" si="0"/>
        <v>15806.679709630052</v>
      </c>
      <c r="R8" s="25">
        <f t="shared" si="0"/>
        <v>15543.235047802886</v>
      </c>
      <c r="S8" s="25">
        <f t="shared" si="0"/>
        <v>15284.181130339504</v>
      </c>
      <c r="T8" s="25">
        <f t="shared" si="0"/>
        <v>15029.444778167179</v>
      </c>
      <c r="U8" s="25">
        <f t="shared" si="0"/>
        <v>14778.954031864392</v>
      </c>
      <c r="V8" s="25">
        <f t="shared" si="0"/>
        <v>14532.638131333319</v>
      </c>
      <c r="W8" s="25">
        <f t="shared" si="0"/>
        <v>14290.427495811096</v>
      </c>
      <c r="X8" s="25">
        <f t="shared" si="0"/>
        <v>14052.253704214245</v>
      </c>
      <c r="Y8" s="25">
        <f t="shared" si="0"/>
        <v>13818.049475810674</v>
      </c>
      <c r="Z8" s="25">
        <f t="shared" si="0"/>
        <v>13587.748651213829</v>
      </c>
      <c r="AA8" s="25">
        <f t="shared" si="0"/>
        <v>13361.286173693599</v>
      </c>
      <c r="AB8" s="25">
        <f t="shared" si="0"/>
        <v>13138.598070798706</v>
      </c>
      <c r="AC8" s="25">
        <f t="shared" si="0"/>
        <v>12919.621436285393</v>
      </c>
      <c r="AD8" s="25">
        <f t="shared" si="0"/>
        <v>12704.294412347304</v>
      </c>
      <c r="AE8" s="25">
        <f t="shared" si="0"/>
        <v>12492.556172141516</v>
      </c>
      <c r="AF8" s="25">
        <f t="shared" si="0"/>
        <v>12284.346902605825</v>
      </c>
      <c r="AG8" s="25">
        <f t="shared" si="0"/>
        <v>12079.607787562394</v>
      </c>
      <c r="AH8" s="25">
        <f t="shared" si="0"/>
        <v>11878.280991103022</v>
      </c>
      <c r="AI8" s="25">
        <f t="shared" si="0"/>
        <v>11680.309641251304</v>
      </c>
      <c r="AJ8" s="25">
        <f t="shared" si="0"/>
        <v>11485.637813897116</v>
      </c>
      <c r="AK8" s="25">
        <f t="shared" si="0"/>
        <v>11294.21051699883</v>
      </c>
      <c r="AL8" s="25">
        <f t="shared" si="0"/>
        <v>11105.97367504885</v>
      </c>
      <c r="AM8" s="25">
        <f t="shared" si="0"/>
        <v>10920.874113798036</v>
      </c>
      <c r="AN8" s="25">
        <f t="shared" si="0"/>
        <v>10738.859545234736</v>
      </c>
      <c r="AO8" s="25">
        <f t="shared" si="0"/>
        <v>10559.878552814158</v>
      </c>
      <c r="AP8" s="25">
        <f>'Bal Sheet Workings'!AP8</f>
        <v>10920.874113798036</v>
      </c>
      <c r="AQ8" s="25">
        <f>'Bal Sheet Workings'!AQ8</f>
        <v>10738.859545234736</v>
      </c>
      <c r="AR8" s="25">
        <f>'Bal Sheet Workings'!AR8</f>
        <v>10559.878552814158</v>
      </c>
      <c r="AS8" s="25">
        <f>'Bal Sheet Workings'!AS8</f>
        <v>10383.880576933921</v>
      </c>
      <c r="AT8" s="25">
        <f>'Bal Sheet Workings'!AT8</f>
        <v>10210.815900651689</v>
      </c>
      <c r="AU8" s="25">
        <f>'Bal Sheet Workings'!AU8</f>
        <v>10040.635635640827</v>
      </c>
      <c r="AV8" s="25">
        <f>'Bal Sheet Workings'!AV8</f>
        <v>9873.2917083801458</v>
      </c>
      <c r="AW8" s="25">
        <f>'Bal Sheet Workings'!AW8</f>
        <v>9708.7368465738109</v>
      </c>
      <c r="AX8" s="25">
        <f>'Bal Sheet Workings'!AX8</f>
        <v>9546.9245657975807</v>
      </c>
      <c r="AY8" s="25">
        <f>'Bal Sheet Workings'!AY8</f>
        <v>9387.8091563676207</v>
      </c>
      <c r="AZ8" s="25">
        <f>'Bal Sheet Workings'!AZ8</f>
        <v>9231.3456704281598</v>
      </c>
      <c r="BA8" s="25">
        <f>'Bal Sheet Workings'!BA8</f>
        <v>9077.4899092543565</v>
      </c>
    </row>
    <row r="9" spans="1:53" x14ac:dyDescent="0.25">
      <c r="B9" s="34" t="s">
        <v>201</v>
      </c>
      <c r="C9" s="25">
        <v>20000</v>
      </c>
    </row>
    <row r="10" spans="1:53" x14ac:dyDescent="0.25">
      <c r="B10" s="34" t="s">
        <v>202</v>
      </c>
      <c r="C10" s="25">
        <f t="shared" ref="C10:AO10" si="1">-(C8+C9)*0.2/12</f>
        <v>-333.33333333333331</v>
      </c>
      <c r="D10" s="25">
        <f t="shared" si="1"/>
        <v>-327.77777777777783</v>
      </c>
      <c r="E10" s="25">
        <f t="shared" si="1"/>
        <v>-322.31481481481484</v>
      </c>
      <c r="F10" s="25">
        <f t="shared" si="1"/>
        <v>-316.94290123456796</v>
      </c>
      <c r="G10" s="25">
        <f t="shared" si="1"/>
        <v>-311.66051954732512</v>
      </c>
      <c r="H10" s="25">
        <f t="shared" si="1"/>
        <v>-306.46617755486977</v>
      </c>
      <c r="I10" s="25">
        <f t="shared" si="1"/>
        <v>-301.35840792895527</v>
      </c>
      <c r="J10" s="25">
        <f t="shared" si="1"/>
        <v>-296.33576779680601</v>
      </c>
      <c r="K10" s="25">
        <f t="shared" si="1"/>
        <v>-291.39683833352592</v>
      </c>
      <c r="L10" s="25">
        <f t="shared" si="1"/>
        <v>-286.54022436130049</v>
      </c>
      <c r="M10" s="25">
        <f t="shared" si="1"/>
        <v>-281.76455395527881</v>
      </c>
      <c r="N10" s="25">
        <f t="shared" si="1"/>
        <v>-277.06847805602416</v>
      </c>
      <c r="O10" s="25">
        <f t="shared" si="1"/>
        <v>-272.45067008842381</v>
      </c>
      <c r="P10" s="25">
        <f t="shared" si="1"/>
        <v>-267.90982558695003</v>
      </c>
      <c r="Q10" s="25">
        <f t="shared" si="1"/>
        <v>-263.44466182716752</v>
      </c>
      <c r="R10" s="25">
        <f t="shared" si="1"/>
        <v>-259.05391746338142</v>
      </c>
      <c r="S10" s="25">
        <f t="shared" si="1"/>
        <v>-254.73635217232507</v>
      </c>
      <c r="T10" s="25">
        <f t="shared" si="1"/>
        <v>-250.49074630278633</v>
      </c>
      <c r="U10" s="25">
        <f t="shared" si="1"/>
        <v>-246.31590053107323</v>
      </c>
      <c r="V10" s="25">
        <f t="shared" si="1"/>
        <v>-242.21063552222199</v>
      </c>
      <c r="W10" s="25">
        <f t="shared" si="1"/>
        <v>-238.17379159685163</v>
      </c>
      <c r="X10" s="25">
        <f t="shared" si="1"/>
        <v>-234.20422840357074</v>
      </c>
      <c r="Y10" s="25">
        <f t="shared" si="1"/>
        <v>-230.30082459684459</v>
      </c>
      <c r="Z10" s="25">
        <f t="shared" si="1"/>
        <v>-226.46247752023052</v>
      </c>
      <c r="AA10" s="25">
        <f t="shared" si="1"/>
        <v>-222.68810289489332</v>
      </c>
      <c r="AB10" s="25">
        <f t="shared" si="1"/>
        <v>-218.97663451331178</v>
      </c>
      <c r="AC10" s="25">
        <f t="shared" si="1"/>
        <v>-215.32702393808992</v>
      </c>
      <c r="AD10" s="25">
        <f t="shared" si="1"/>
        <v>-211.73824020578843</v>
      </c>
      <c r="AE10" s="25">
        <f t="shared" si="1"/>
        <v>-208.20926953569196</v>
      </c>
      <c r="AF10" s="25">
        <f t="shared" si="1"/>
        <v>-204.73911504343042</v>
      </c>
      <c r="AG10" s="25">
        <f t="shared" si="1"/>
        <v>-201.32679645937324</v>
      </c>
      <c r="AH10" s="25">
        <f t="shared" si="1"/>
        <v>-197.97134985171704</v>
      </c>
      <c r="AI10" s="25">
        <f t="shared" si="1"/>
        <v>-194.67182735418839</v>
      </c>
      <c r="AJ10" s="25">
        <f t="shared" si="1"/>
        <v>-191.42729689828528</v>
      </c>
      <c r="AK10" s="25">
        <f t="shared" si="1"/>
        <v>-188.23684194998052</v>
      </c>
      <c r="AL10" s="25">
        <f t="shared" si="1"/>
        <v>-185.09956125081419</v>
      </c>
      <c r="AM10" s="25">
        <f t="shared" si="1"/>
        <v>-182.0145685633006</v>
      </c>
      <c r="AN10" s="25">
        <f t="shared" si="1"/>
        <v>-178.98099242057893</v>
      </c>
      <c r="AO10" s="25">
        <f t="shared" si="1"/>
        <v>-175.997975880236</v>
      </c>
      <c r="AP10" s="25">
        <f>'Bal Sheet Workings'!AP10</f>
        <v>-182.0145685633006</v>
      </c>
      <c r="AQ10" s="25">
        <f>'Bal Sheet Workings'!AQ10</f>
        <v>-178.98099242057893</v>
      </c>
      <c r="AR10" s="25">
        <f>'Bal Sheet Workings'!AR10</f>
        <v>-175.997975880236</v>
      </c>
      <c r="AS10" s="25">
        <f>'Bal Sheet Workings'!AS10</f>
        <v>-173.06467628223206</v>
      </c>
      <c r="AT10" s="25">
        <f>'Bal Sheet Workings'!AT10</f>
        <v>-170.18026501086149</v>
      </c>
      <c r="AU10" s="25">
        <f>'Bal Sheet Workings'!AU10</f>
        <v>-167.34392726068046</v>
      </c>
      <c r="AV10" s="25">
        <f>'Bal Sheet Workings'!AV10</f>
        <v>-164.55486180633577</v>
      </c>
      <c r="AW10" s="25">
        <f>'Bal Sheet Workings'!AW10</f>
        <v>-161.81228077623018</v>
      </c>
      <c r="AX10" s="25">
        <f>'Bal Sheet Workings'!AX10</f>
        <v>-159.11540942995967</v>
      </c>
      <c r="AY10" s="25">
        <f>'Bal Sheet Workings'!AY10</f>
        <v>-156.46348593946036</v>
      </c>
      <c r="AZ10" s="25">
        <f>'Bal Sheet Workings'!AZ10</f>
        <v>-153.85576117380268</v>
      </c>
      <c r="BA10" s="25">
        <f>'Bal Sheet Workings'!BA10</f>
        <v>-151.29149848757262</v>
      </c>
    </row>
    <row r="11" spans="1:53" x14ac:dyDescent="0.25">
      <c r="B11" s="34"/>
    </row>
    <row r="12" spans="1:53" s="2" customFormat="1" ht="13" x14ac:dyDescent="0.3">
      <c r="C12" s="35">
        <f t="shared" ref="C12:AH12" si="2">SUM(C8:C11)</f>
        <v>19666.666666666668</v>
      </c>
      <c r="D12" s="35">
        <f t="shared" si="2"/>
        <v>19338.888888888891</v>
      </c>
      <c r="E12" s="35">
        <f t="shared" si="2"/>
        <v>19016.574074074077</v>
      </c>
      <c r="F12" s="35">
        <f t="shared" si="2"/>
        <v>18699.631172839509</v>
      </c>
      <c r="G12" s="35">
        <f t="shared" si="2"/>
        <v>18387.970653292185</v>
      </c>
      <c r="H12" s="35">
        <f t="shared" si="2"/>
        <v>18081.504475737314</v>
      </c>
      <c r="I12" s="35">
        <f t="shared" si="2"/>
        <v>17780.14606780836</v>
      </c>
      <c r="J12" s="35">
        <f t="shared" si="2"/>
        <v>17483.810300011555</v>
      </c>
      <c r="K12" s="35">
        <f t="shared" si="2"/>
        <v>17192.413461678028</v>
      </c>
      <c r="L12" s="35">
        <f t="shared" si="2"/>
        <v>16905.87323731673</v>
      </c>
      <c r="M12" s="35">
        <f t="shared" si="2"/>
        <v>16624.10868336145</v>
      </c>
      <c r="N12" s="35">
        <f t="shared" si="2"/>
        <v>16347.040205305426</v>
      </c>
      <c r="O12" s="35">
        <f t="shared" si="2"/>
        <v>16074.589535217003</v>
      </c>
      <c r="P12" s="35">
        <f t="shared" si="2"/>
        <v>15806.679709630052</v>
      </c>
      <c r="Q12" s="35">
        <f t="shared" si="2"/>
        <v>15543.235047802886</v>
      </c>
      <c r="R12" s="35">
        <f t="shared" si="2"/>
        <v>15284.181130339504</v>
      </c>
      <c r="S12" s="35">
        <f t="shared" si="2"/>
        <v>15029.444778167179</v>
      </c>
      <c r="T12" s="35">
        <f t="shared" si="2"/>
        <v>14778.954031864392</v>
      </c>
      <c r="U12" s="35">
        <f t="shared" si="2"/>
        <v>14532.638131333319</v>
      </c>
      <c r="V12" s="35">
        <f t="shared" si="2"/>
        <v>14290.427495811096</v>
      </c>
      <c r="W12" s="35">
        <f t="shared" si="2"/>
        <v>14052.253704214245</v>
      </c>
      <c r="X12" s="35">
        <f t="shared" si="2"/>
        <v>13818.049475810674</v>
      </c>
      <c r="Y12" s="35">
        <f t="shared" si="2"/>
        <v>13587.748651213829</v>
      </c>
      <c r="Z12" s="35">
        <f t="shared" si="2"/>
        <v>13361.286173693599</v>
      </c>
      <c r="AA12" s="35">
        <f t="shared" si="2"/>
        <v>13138.598070798706</v>
      </c>
      <c r="AB12" s="35">
        <f t="shared" si="2"/>
        <v>12919.621436285393</v>
      </c>
      <c r="AC12" s="35">
        <f t="shared" si="2"/>
        <v>12704.294412347304</v>
      </c>
      <c r="AD12" s="35">
        <f t="shared" si="2"/>
        <v>12492.556172141516</v>
      </c>
      <c r="AE12" s="35">
        <f t="shared" si="2"/>
        <v>12284.346902605825</v>
      </c>
      <c r="AF12" s="35">
        <f t="shared" si="2"/>
        <v>12079.607787562394</v>
      </c>
      <c r="AG12" s="35">
        <f t="shared" si="2"/>
        <v>11878.280991103022</v>
      </c>
      <c r="AH12" s="35">
        <f t="shared" si="2"/>
        <v>11680.309641251304</v>
      </c>
      <c r="AI12" s="35">
        <f t="shared" ref="AI12:BA12" si="3">SUM(AI8:AI11)</f>
        <v>11485.637813897116</v>
      </c>
      <c r="AJ12" s="35">
        <f t="shared" si="3"/>
        <v>11294.21051699883</v>
      </c>
      <c r="AK12" s="35">
        <f t="shared" si="3"/>
        <v>11105.97367504885</v>
      </c>
      <c r="AL12" s="35">
        <f t="shared" si="3"/>
        <v>10920.874113798036</v>
      </c>
      <c r="AM12" s="35">
        <f t="shared" si="3"/>
        <v>10738.859545234736</v>
      </c>
      <c r="AN12" s="35">
        <f t="shared" si="3"/>
        <v>10559.878552814158</v>
      </c>
      <c r="AO12" s="35">
        <f t="shared" si="3"/>
        <v>10383.880576933921</v>
      </c>
      <c r="AP12" s="35">
        <f t="shared" si="3"/>
        <v>10738.859545234736</v>
      </c>
      <c r="AQ12" s="35">
        <f t="shared" si="3"/>
        <v>10559.878552814158</v>
      </c>
      <c r="AR12" s="35">
        <f t="shared" si="3"/>
        <v>10383.880576933921</v>
      </c>
      <c r="AS12" s="35">
        <f t="shared" si="3"/>
        <v>10210.815900651689</v>
      </c>
      <c r="AT12" s="35">
        <f t="shared" si="3"/>
        <v>10040.635635640827</v>
      </c>
      <c r="AU12" s="35">
        <f t="shared" si="3"/>
        <v>9873.2917083801458</v>
      </c>
      <c r="AV12" s="35">
        <f t="shared" si="3"/>
        <v>9708.7368465738109</v>
      </c>
      <c r="AW12" s="35">
        <f t="shared" si="3"/>
        <v>9546.9245657975807</v>
      </c>
      <c r="AX12" s="35">
        <f t="shared" si="3"/>
        <v>9387.8091563676207</v>
      </c>
      <c r="AY12" s="35">
        <f t="shared" si="3"/>
        <v>9231.3456704281598</v>
      </c>
      <c r="AZ12" s="35">
        <f t="shared" si="3"/>
        <v>9077.4899092543565</v>
      </c>
      <c r="BA12" s="35">
        <f t="shared" si="3"/>
        <v>8926.1984107667831</v>
      </c>
    </row>
    <row r="14" spans="1:53" ht="15.5" x14ac:dyDescent="0.35">
      <c r="A14" s="26" t="s">
        <v>203</v>
      </c>
    </row>
    <row r="15" spans="1:53" ht="15" customHeight="1" x14ac:dyDescent="0.35">
      <c r="A15" s="26"/>
      <c r="B15" s="1" t="s">
        <v>204</v>
      </c>
      <c r="C15" s="25">
        <f>'Cashflow Workings'!C35</f>
        <v>0</v>
      </c>
      <c r="D15" s="25">
        <f>C15+'Cashflow Workings'!D35</f>
        <v>0</v>
      </c>
      <c r="E15" s="25" t="e">
        <f>D15+'Cashflow Workings'!#REF!</f>
        <v>#REF!</v>
      </c>
      <c r="F15" s="25" t="e">
        <f>E15+'Cashflow Workings'!E35</f>
        <v>#REF!</v>
      </c>
      <c r="G15" s="25" t="e">
        <f>F15+'Cashflow Workings'!G35</f>
        <v>#REF!</v>
      </c>
      <c r="H15" s="25" t="e">
        <f>G15+'Cashflow Workings'!H35</f>
        <v>#REF!</v>
      </c>
      <c r="I15" s="25" t="e">
        <f>H15+'Cashflow Workings'!I35</f>
        <v>#REF!</v>
      </c>
      <c r="J15" s="25" t="e">
        <f>I15+'Cashflow Workings'!J35</f>
        <v>#REF!</v>
      </c>
      <c r="K15" s="25" t="e">
        <f>J15+'Cashflow Workings'!K35</f>
        <v>#REF!</v>
      </c>
      <c r="L15" s="25" t="e">
        <f>K15+'Cashflow Workings'!L35</f>
        <v>#REF!</v>
      </c>
      <c r="M15" s="25" t="e">
        <f>L15+'Cashflow Workings'!M35</f>
        <v>#REF!</v>
      </c>
      <c r="N15" s="25" t="e">
        <f>M15+'Cashflow Workings'!N35</f>
        <v>#REF!</v>
      </c>
      <c r="O15" s="25" t="e">
        <f>N15+'Cashflow Workings'!O35</f>
        <v>#REF!</v>
      </c>
      <c r="P15" s="25" t="e">
        <f>O15+'Cashflow Workings'!P35</f>
        <v>#REF!</v>
      </c>
      <c r="Q15" s="25" t="e">
        <f>P15+'Cashflow Workings'!Q35</f>
        <v>#REF!</v>
      </c>
      <c r="R15" s="25" t="e">
        <f>Q15+'Cashflow Workings'!R35</f>
        <v>#REF!</v>
      </c>
      <c r="S15" s="25" t="e">
        <f>R15+'Cashflow Workings'!S35</f>
        <v>#REF!</v>
      </c>
      <c r="T15" s="25" t="e">
        <f>S15+'Cashflow Workings'!T35</f>
        <v>#REF!</v>
      </c>
      <c r="U15" s="25" t="e">
        <f>T15+'Cashflow Workings'!U35</f>
        <v>#REF!</v>
      </c>
      <c r="V15" s="25" t="e">
        <f>U15+'Cashflow Workings'!V35</f>
        <v>#REF!</v>
      </c>
      <c r="W15" s="25" t="e">
        <f>V15+'Cashflow Workings'!W35</f>
        <v>#REF!</v>
      </c>
      <c r="X15" s="25" t="e">
        <f>W15+'Cashflow Workings'!X35</f>
        <v>#REF!</v>
      </c>
      <c r="Y15" s="25" t="e">
        <f>X15+'Cashflow Workings'!Y35</f>
        <v>#REF!</v>
      </c>
      <c r="Z15" s="25" t="e">
        <f>Y15+'Cashflow Workings'!Z35</f>
        <v>#REF!</v>
      </c>
      <c r="AA15" s="25" t="e">
        <f>Z15+'Cashflow Workings'!AA35</f>
        <v>#REF!</v>
      </c>
      <c r="AB15" s="25" t="e">
        <f>AA15+'Cashflow Workings'!AB35</f>
        <v>#REF!</v>
      </c>
      <c r="AC15" s="25" t="e">
        <f>AB15+'Cashflow Workings'!AC35</f>
        <v>#REF!</v>
      </c>
      <c r="AD15" s="25" t="e">
        <f>AC15+'Cashflow Workings'!AD35</f>
        <v>#REF!</v>
      </c>
      <c r="AE15" s="25" t="e">
        <f>AD15+'Cashflow Workings'!AE35</f>
        <v>#REF!</v>
      </c>
      <c r="AF15" s="25" t="e">
        <f>AE15+'Cashflow Workings'!AF35</f>
        <v>#REF!</v>
      </c>
      <c r="AG15" s="25" t="e">
        <f>AF15+'Cashflow Workings'!AG35</f>
        <v>#REF!</v>
      </c>
      <c r="AH15" s="25" t="e">
        <f>AG15+'Cashflow Workings'!AH35</f>
        <v>#REF!</v>
      </c>
      <c r="AI15" s="25" t="e">
        <f>AH15+'Cashflow Workings'!AI35</f>
        <v>#REF!</v>
      </c>
      <c r="AJ15" s="25" t="e">
        <f>AI15+'Cashflow Workings'!AJ35</f>
        <v>#REF!</v>
      </c>
      <c r="AK15" s="25" t="e">
        <f>AJ15+'Cashflow Workings'!AK35</f>
        <v>#REF!</v>
      </c>
      <c r="AL15" s="25" t="e">
        <f>AK15+'Cashflow Workings'!AL35</f>
        <v>#REF!</v>
      </c>
      <c r="AM15" s="25" t="e">
        <f>AL15+'Cashflow Workings'!AM35</f>
        <v>#REF!</v>
      </c>
      <c r="AN15" s="25" t="e">
        <f>AM15+'Cashflow Workings'!AN35</f>
        <v>#REF!</v>
      </c>
      <c r="AO15" s="25" t="e">
        <f>AN15+'Cashflow Workings'!AO35</f>
        <v>#REF!</v>
      </c>
      <c r="AP15" s="25">
        <f>'Bal Sheet Workings'!AP15</f>
        <v>300000</v>
      </c>
      <c r="AQ15" s="25">
        <f>'Bal Sheet Workings'!AQ15</f>
        <v>300000</v>
      </c>
      <c r="AR15" s="25">
        <f>'Bal Sheet Workings'!AR15</f>
        <v>300000</v>
      </c>
      <c r="AS15" s="25">
        <f>'Bal Sheet Workings'!AS15</f>
        <v>300000</v>
      </c>
      <c r="AT15" s="25">
        <f>'Bal Sheet Workings'!AT15</f>
        <v>300000</v>
      </c>
      <c r="AU15" s="25">
        <f>'Bal Sheet Workings'!AU15</f>
        <v>300000</v>
      </c>
      <c r="AV15" s="25">
        <f>'Bal Sheet Workings'!AV15</f>
        <v>300000</v>
      </c>
      <c r="AW15" s="25">
        <f>'Bal Sheet Workings'!AW15</f>
        <v>300000</v>
      </c>
      <c r="AX15" s="25">
        <f>'Bal Sheet Workings'!AX15</f>
        <v>300000</v>
      </c>
      <c r="AY15" s="25">
        <f>'Bal Sheet Workings'!AY15</f>
        <v>300000</v>
      </c>
      <c r="AZ15" s="25">
        <f>'Bal Sheet Workings'!AZ15</f>
        <v>300000</v>
      </c>
      <c r="BA15" s="25">
        <f>'Bal Sheet Workings'!BA15</f>
        <v>300000</v>
      </c>
    </row>
    <row r="16" spans="1:53" ht="14.25" customHeight="1" x14ac:dyDescent="0.35">
      <c r="A16" s="26"/>
      <c r="B16" s="1" t="s">
        <v>205</v>
      </c>
      <c r="C16" s="25">
        <f>'Cashflow Workings'!C21</f>
        <v>0</v>
      </c>
      <c r="D16" s="25">
        <f>C16+'Cashflow Workings'!D21-'Cashflow Workings'!D15</f>
        <v>0</v>
      </c>
      <c r="E16" s="25">
        <f>D16+'Cashflow Workings'!E21-'Cashflow Workings'!E15</f>
        <v>0</v>
      </c>
      <c r="F16" s="25">
        <f>E16+'Cashflow Workings'!F21-'Cashflow Workings'!F15</f>
        <v>0</v>
      </c>
      <c r="G16" s="25">
        <f>F16+'Cashflow Workings'!G21-'Cashflow Workings'!G15</f>
        <v>0</v>
      </c>
      <c r="H16" s="25">
        <f>G16+'Cashflow Workings'!H21-'Cashflow Workings'!H15</f>
        <v>0</v>
      </c>
      <c r="I16" s="25">
        <f>H16+'Cashflow Workings'!I21-'Cashflow Workings'!I15</f>
        <v>0</v>
      </c>
      <c r="J16" s="25">
        <f>I16+'Cashflow Workings'!J21-'Cashflow Workings'!J15</f>
        <v>0</v>
      </c>
      <c r="K16" s="25">
        <f>J16+'Cashflow Workings'!K21-'Cashflow Workings'!K15</f>
        <v>0</v>
      </c>
      <c r="L16" s="25">
        <f>K16+'Cashflow Workings'!L21-'Cashflow Workings'!L15</f>
        <v>0</v>
      </c>
      <c r="M16" s="25">
        <f>L16+'Cashflow Workings'!M21-'Cashflow Workings'!M15</f>
        <v>0</v>
      </c>
      <c r="N16" s="25">
        <f>M16+'Cashflow Workings'!N21-'Cashflow Workings'!N15</f>
        <v>0</v>
      </c>
      <c r="O16" s="25">
        <f>N16+'Cashflow Workings'!O21-'Cashflow Workings'!O15</f>
        <v>0</v>
      </c>
      <c r="P16" s="25">
        <f>O16+'Cashflow Workings'!P21-'Cashflow Workings'!P15</f>
        <v>0</v>
      </c>
      <c r="Q16" s="25">
        <f>P16+'Cashflow Workings'!Q21-'Cashflow Workings'!Q15</f>
        <v>0</v>
      </c>
      <c r="R16" s="25">
        <f>Q16+'Cashflow Workings'!R21-'Cashflow Workings'!R15</f>
        <v>0</v>
      </c>
      <c r="S16" s="25">
        <f>R16+'Cashflow Workings'!S21-'Cashflow Workings'!S15</f>
        <v>0</v>
      </c>
      <c r="T16" s="25">
        <f>S16+'Cashflow Workings'!T21-'Cashflow Workings'!T15</f>
        <v>0</v>
      </c>
      <c r="U16" s="25">
        <f>T16+'Cashflow Workings'!U21-'Cashflow Workings'!U15</f>
        <v>0</v>
      </c>
      <c r="V16" s="25">
        <f>U16+'Cashflow Workings'!V21-'Cashflow Workings'!V15</f>
        <v>0</v>
      </c>
      <c r="W16" s="25">
        <f>V16+'Cashflow Workings'!W21-'Cashflow Workings'!W15</f>
        <v>0</v>
      </c>
      <c r="X16" s="25">
        <f>W16+'Cashflow Workings'!X21-'Cashflow Workings'!X15</f>
        <v>0</v>
      </c>
      <c r="Y16" s="25">
        <f>X16+'Cashflow Workings'!Y21-'Cashflow Workings'!Y15</f>
        <v>0</v>
      </c>
      <c r="Z16" s="25">
        <f>Y16+'Cashflow Workings'!Z21-'Cashflow Workings'!Z15</f>
        <v>0</v>
      </c>
      <c r="AA16" s="25">
        <f>Z16+'Cashflow Workings'!AA21-'Cashflow Workings'!AA15</f>
        <v>0</v>
      </c>
      <c r="AB16" s="25">
        <f>AA16+'Cashflow Workings'!AB21-'Cashflow Workings'!AB15</f>
        <v>0</v>
      </c>
      <c r="AC16" s="25">
        <f>AB16+'Cashflow Workings'!AC21-'Cashflow Workings'!AC15</f>
        <v>0</v>
      </c>
      <c r="AD16" s="25">
        <f>AC16+'Cashflow Workings'!AD21-'Cashflow Workings'!AD15</f>
        <v>0</v>
      </c>
      <c r="AE16" s="25">
        <f>AD16+'Cashflow Workings'!AE21-'Cashflow Workings'!AE15</f>
        <v>0</v>
      </c>
      <c r="AF16" s="25">
        <f>AE16+'Cashflow Workings'!AF21-'Cashflow Workings'!AF15</f>
        <v>0</v>
      </c>
      <c r="AG16" s="25">
        <f>AF16+'Cashflow Workings'!AG21-'Cashflow Workings'!AG15</f>
        <v>0</v>
      </c>
      <c r="AH16" s="25">
        <f>AG16+'Cashflow Workings'!AH21-'Cashflow Workings'!AH15</f>
        <v>0</v>
      </c>
      <c r="AI16" s="25">
        <f>AH16+'Cashflow Workings'!AI21-'Cashflow Workings'!AI15</f>
        <v>0</v>
      </c>
      <c r="AJ16" s="25">
        <f>AI16+'Cashflow Workings'!AJ21-'Cashflow Workings'!AJ15</f>
        <v>0</v>
      </c>
      <c r="AK16" s="25">
        <f>AJ16+'Cashflow Workings'!AK21-'Cashflow Workings'!AK15</f>
        <v>0</v>
      </c>
      <c r="AL16" s="25">
        <f>AK16+'Cashflow Workings'!AL21-'Cashflow Workings'!AL15</f>
        <v>0</v>
      </c>
      <c r="AM16" s="25">
        <f>AL16+'Cashflow Workings'!AM21-'Cashflow Workings'!AM15</f>
        <v>0</v>
      </c>
      <c r="AN16" s="25">
        <f>AM16+'Cashflow Workings'!AN21-'Cashflow Workings'!AN15</f>
        <v>0</v>
      </c>
      <c r="AO16" s="25">
        <f>AN16+'Cashflow Workings'!AO21-'Cashflow Workings'!AO15</f>
        <v>0</v>
      </c>
      <c r="AP16" s="25">
        <f>'Bal Sheet Workings'!AP16</f>
        <v>0</v>
      </c>
      <c r="AQ16" s="25">
        <f>'Bal Sheet Workings'!AQ16</f>
        <v>0</v>
      </c>
      <c r="AR16" s="25">
        <f>'Bal Sheet Workings'!AR16</f>
        <v>0</v>
      </c>
      <c r="AS16" s="25">
        <f>'Bal Sheet Workings'!AS16</f>
        <v>0</v>
      </c>
      <c r="AT16" s="25">
        <f>'Bal Sheet Workings'!AT16</f>
        <v>0</v>
      </c>
      <c r="AU16" s="25">
        <f>'Bal Sheet Workings'!AU16</f>
        <v>0</v>
      </c>
      <c r="AV16" s="25">
        <f>'Bal Sheet Workings'!AV16</f>
        <v>0</v>
      </c>
      <c r="AW16" s="25">
        <f>'Bal Sheet Workings'!AW16</f>
        <v>0</v>
      </c>
      <c r="AX16" s="25">
        <f>'Bal Sheet Workings'!AX16</f>
        <v>0</v>
      </c>
      <c r="AY16" s="25">
        <f>'Bal Sheet Workings'!AY16</f>
        <v>0</v>
      </c>
      <c r="AZ16" s="25">
        <f>'Bal Sheet Workings'!AZ16</f>
        <v>0</v>
      </c>
      <c r="BA16" s="25">
        <f>'Bal Sheet Workings'!BA16</f>
        <v>0</v>
      </c>
    </row>
    <row r="17" spans="1:53" s="13" customFormat="1" ht="12.75" customHeight="1" x14ac:dyDescent="0.25">
      <c r="B17" s="61" t="s">
        <v>206</v>
      </c>
      <c r="C17" s="33">
        <f>'Cashflow Workings'!C50</f>
        <v>0</v>
      </c>
      <c r="D17" s="33">
        <f>'Cashflow Workings'!D50</f>
        <v>0</v>
      </c>
      <c r="E17" s="33">
        <f>'Cashflow Workings'!E50</f>
        <v>1900550.0993992675</v>
      </c>
      <c r="F17" s="33">
        <f>'Cashflow Workings'!F50</f>
        <v>1912904.7984817449</v>
      </c>
      <c r="G17" s="33">
        <f>'Cashflow Workings'!G50</f>
        <v>1970397.1992693506</v>
      </c>
      <c r="H17" s="33">
        <f>'Cashflow Workings'!H50</f>
        <v>1855107.3155569562</v>
      </c>
      <c r="I17" s="33">
        <f>'Cashflow Workings'!I50</f>
        <v>1829484.562219562</v>
      </c>
      <c r="J17" s="33">
        <f>'Cashflow Workings'!J50</f>
        <v>2112280.3401321676</v>
      </c>
      <c r="K17" s="33">
        <f>'Cashflow Workings'!K50</f>
        <v>2142267.0601697732</v>
      </c>
      <c r="L17" s="33">
        <f>'Cashflow Workings'!L50</f>
        <v>1777094.9102073787</v>
      </c>
      <c r="M17" s="33">
        <f>'Cashflow Workings'!M50</f>
        <v>1779575.9494949842</v>
      </c>
      <c r="N17" s="33">
        <f>'Cashflow Workings'!N50</f>
        <v>1875156.5886325897</v>
      </c>
      <c r="O17" s="33">
        <f>'Cashflow Workings'!O50</f>
        <v>1247409.4483201953</v>
      </c>
      <c r="P17" s="33">
        <f>'Cashflow Workings'!P50</f>
        <v>1194879.1261078008</v>
      </c>
      <c r="Q17" s="33">
        <f>'Cashflow Workings'!Q50</f>
        <v>1252371.5268954064</v>
      </c>
      <c r="R17" s="33">
        <f>'Cashflow Workings'!R50</f>
        <v>1090146.0354330121</v>
      </c>
      <c r="S17" s="33">
        <f>'Cashflow Workings'!S50</f>
        <v>1254569.8517206179</v>
      </c>
      <c r="T17" s="33">
        <f>'Cashflow Workings'!T50</f>
        <v>1517953.5192582237</v>
      </c>
      <c r="U17" s="33">
        <f>'Cashflow Workings'!U50</f>
        <v>1532472.1532958292</v>
      </c>
      <c r="V17" s="33">
        <f>'Cashflow Workings'!V50</f>
        <v>1956020.8698334349</v>
      </c>
      <c r="W17" s="33">
        <f>'Cashflow Workings'!W50</f>
        <v>2089489.6048710407</v>
      </c>
      <c r="X17" s="33">
        <f>'Cashflow Workings'!X50</f>
        <v>1809869.0863226359</v>
      </c>
      <c r="Y17" s="33">
        <f>'Cashflow Workings'!Y50</f>
        <v>1912382.7401102413</v>
      </c>
      <c r="Z17" s="33">
        <f>'Cashflow Workings'!Z50</f>
        <v>1928532.6812632317</v>
      </c>
      <c r="AA17" s="33">
        <f>'Cashflow Workings'!AA50</f>
        <v>1325135.4939648267</v>
      </c>
      <c r="AB17" s="33">
        <f>'Cashflow Workings'!AB50</f>
        <v>1396694.0665024321</v>
      </c>
      <c r="AC17" s="33">
        <f>'Cashflow Workings'!AC50</f>
        <v>1561117.8827900379</v>
      </c>
      <c r="AD17" s="33">
        <f>'Cashflow Workings'!AD50</f>
        <v>1637757.9908706937</v>
      </c>
      <c r="AE17" s="33">
        <f>'Cashflow Workings'!AE50</f>
        <v>2053609.7455373607</v>
      </c>
      <c r="AF17" s="33">
        <f>'Cashflow Workings'!AF50</f>
        <v>2535741.1822040277</v>
      </c>
      <c r="AG17" s="33">
        <f>'Cashflow Workings'!AG50</f>
        <v>2752635.6072846837</v>
      </c>
      <c r="AH17" s="33">
        <f>'Cashflow Workings'!AH50</f>
        <v>3398473.7192013506</v>
      </c>
      <c r="AI17" s="33">
        <f>'Cashflow Workings'!AI50</f>
        <v>3743137.0296180174</v>
      </c>
      <c r="AJ17" s="33">
        <f>'Cashflow Workings'!AJ50</f>
        <v>3720159.830426415</v>
      </c>
      <c r="AK17" s="33">
        <f>'Cashflow Workings'!AK50</f>
        <v>4030578.206468082</v>
      </c>
      <c r="AL17" s="33">
        <f>'Cashflow Workings'!AL50</f>
        <v>4446429.9611347485</v>
      </c>
      <c r="AM17" s="33">
        <f>'Cashflow Workings'!AM50</f>
        <v>4093580.318193146</v>
      </c>
      <c r="AN17" s="33">
        <f>'Cashflow Workings'!AN50</f>
        <v>4335508.8254848123</v>
      </c>
      <c r="AO17" s="33">
        <f>'Cashflow Workings'!AO50</f>
        <v>4714417.0702764792</v>
      </c>
      <c r="AP17" s="25">
        <f>'Bal Sheet Workings'!AP17</f>
        <v>4943896.9324598759</v>
      </c>
      <c r="AQ17" s="25">
        <f>'Bal Sheet Workings'!AQ17</f>
        <v>5430777.4371265434</v>
      </c>
      <c r="AR17" s="25">
        <f>'Bal Sheet Workings'!AR17</f>
        <v>5981646.3737932108</v>
      </c>
      <c r="AS17" s="25">
        <f>'Bal Sheet Workings'!AS17</f>
        <v>6323271.5683516087</v>
      </c>
      <c r="AT17" s="25">
        <f>'Bal Sheet Workings'!AT17</f>
        <v>7040138.4302682756</v>
      </c>
      <c r="AU17" s="25">
        <f>'Bal Sheet Workings'!AU17</f>
        <v>7461092.4344349429</v>
      </c>
      <c r="AV17" s="25">
        <f>'Bal Sheet Workings'!AV17</f>
        <v>7568171.2768221181</v>
      </c>
      <c r="AW17" s="25">
        <f>'Bal Sheet Workings'!AW17</f>
        <v>7945035.9028637847</v>
      </c>
      <c r="AX17" s="25">
        <f>'Bal Sheet Workings'!AX17</f>
        <v>8431916.4075304512</v>
      </c>
      <c r="AY17" s="25">
        <f>'Bal Sheet Workings'!AY17</f>
        <v>8174126.5911676269</v>
      </c>
      <c r="AZ17" s="25">
        <f>'Bal Sheet Workings'!AZ17</f>
        <v>8477918.8484592941</v>
      </c>
      <c r="BA17" s="25">
        <f>'Bal Sheet Workings'!BA17</f>
        <v>8927855.8432509601</v>
      </c>
    </row>
    <row r="18" spans="1:53" ht="12.75" customHeight="1" x14ac:dyDescent="0.25">
      <c r="B18" s="63"/>
      <c r="C18" s="72">
        <f t="shared" ref="C18:AH18" si="4">SUM(C15:C17)</f>
        <v>0</v>
      </c>
      <c r="D18" s="72">
        <f t="shared" si="4"/>
        <v>0</v>
      </c>
      <c r="E18" s="72" t="e">
        <f t="shared" si="4"/>
        <v>#REF!</v>
      </c>
      <c r="F18" s="72" t="e">
        <f t="shared" si="4"/>
        <v>#REF!</v>
      </c>
      <c r="G18" s="72" t="e">
        <f t="shared" si="4"/>
        <v>#REF!</v>
      </c>
      <c r="H18" s="72" t="e">
        <f t="shared" si="4"/>
        <v>#REF!</v>
      </c>
      <c r="I18" s="72" t="e">
        <f t="shared" si="4"/>
        <v>#REF!</v>
      </c>
      <c r="J18" s="72" t="e">
        <f t="shared" si="4"/>
        <v>#REF!</v>
      </c>
      <c r="K18" s="72" t="e">
        <f t="shared" si="4"/>
        <v>#REF!</v>
      </c>
      <c r="L18" s="72" t="e">
        <f t="shared" si="4"/>
        <v>#REF!</v>
      </c>
      <c r="M18" s="72" t="e">
        <f t="shared" si="4"/>
        <v>#REF!</v>
      </c>
      <c r="N18" s="72" t="e">
        <f t="shared" si="4"/>
        <v>#REF!</v>
      </c>
      <c r="O18" s="72" t="e">
        <f t="shared" si="4"/>
        <v>#REF!</v>
      </c>
      <c r="P18" s="72" t="e">
        <f t="shared" si="4"/>
        <v>#REF!</v>
      </c>
      <c r="Q18" s="72" t="e">
        <f t="shared" si="4"/>
        <v>#REF!</v>
      </c>
      <c r="R18" s="72" t="e">
        <f t="shared" si="4"/>
        <v>#REF!</v>
      </c>
      <c r="S18" s="72" t="e">
        <f t="shared" si="4"/>
        <v>#REF!</v>
      </c>
      <c r="T18" s="72" t="e">
        <f t="shared" si="4"/>
        <v>#REF!</v>
      </c>
      <c r="U18" s="72" t="e">
        <f t="shared" si="4"/>
        <v>#REF!</v>
      </c>
      <c r="V18" s="72" t="e">
        <f t="shared" si="4"/>
        <v>#REF!</v>
      </c>
      <c r="W18" s="72" t="e">
        <f t="shared" si="4"/>
        <v>#REF!</v>
      </c>
      <c r="X18" s="72" t="e">
        <f t="shared" si="4"/>
        <v>#REF!</v>
      </c>
      <c r="Y18" s="72" t="e">
        <f t="shared" si="4"/>
        <v>#REF!</v>
      </c>
      <c r="Z18" s="72" t="e">
        <f t="shared" si="4"/>
        <v>#REF!</v>
      </c>
      <c r="AA18" s="72" t="e">
        <f t="shared" si="4"/>
        <v>#REF!</v>
      </c>
      <c r="AB18" s="72" t="e">
        <f t="shared" si="4"/>
        <v>#REF!</v>
      </c>
      <c r="AC18" s="72" t="e">
        <f t="shared" si="4"/>
        <v>#REF!</v>
      </c>
      <c r="AD18" s="72" t="e">
        <f t="shared" si="4"/>
        <v>#REF!</v>
      </c>
      <c r="AE18" s="72" t="e">
        <f t="shared" si="4"/>
        <v>#REF!</v>
      </c>
      <c r="AF18" s="72" t="e">
        <f t="shared" si="4"/>
        <v>#REF!</v>
      </c>
      <c r="AG18" s="72" t="e">
        <f t="shared" si="4"/>
        <v>#REF!</v>
      </c>
      <c r="AH18" s="72" t="e">
        <f t="shared" si="4"/>
        <v>#REF!</v>
      </c>
      <c r="AI18" s="72" t="e">
        <f t="shared" ref="AI18:BA18" si="5">SUM(AI15:AI17)</f>
        <v>#REF!</v>
      </c>
      <c r="AJ18" s="72" t="e">
        <f t="shared" si="5"/>
        <v>#REF!</v>
      </c>
      <c r="AK18" s="72" t="e">
        <f t="shared" si="5"/>
        <v>#REF!</v>
      </c>
      <c r="AL18" s="72" t="e">
        <f t="shared" si="5"/>
        <v>#REF!</v>
      </c>
      <c r="AM18" s="72" t="e">
        <f t="shared" si="5"/>
        <v>#REF!</v>
      </c>
      <c r="AN18" s="72" t="e">
        <f t="shared" si="5"/>
        <v>#REF!</v>
      </c>
      <c r="AO18" s="72" t="e">
        <f t="shared" si="5"/>
        <v>#REF!</v>
      </c>
      <c r="AP18" s="28">
        <f t="shared" si="5"/>
        <v>5243896.9324598759</v>
      </c>
      <c r="AQ18" s="28">
        <f t="shared" si="5"/>
        <v>5730777.4371265434</v>
      </c>
      <c r="AR18" s="28">
        <f t="shared" si="5"/>
        <v>6281646.3737932108</v>
      </c>
      <c r="AS18" s="28">
        <f t="shared" si="5"/>
        <v>6623271.5683516087</v>
      </c>
      <c r="AT18" s="28">
        <f t="shared" si="5"/>
        <v>7340138.4302682756</v>
      </c>
      <c r="AU18" s="28">
        <f t="shared" si="5"/>
        <v>7761092.4344349429</v>
      </c>
      <c r="AV18" s="28">
        <f t="shared" si="5"/>
        <v>7868171.2768221181</v>
      </c>
      <c r="AW18" s="28">
        <f t="shared" si="5"/>
        <v>8245035.9028637847</v>
      </c>
      <c r="AX18" s="28">
        <f t="shared" si="5"/>
        <v>8731916.4075304512</v>
      </c>
      <c r="AY18" s="28">
        <f t="shared" si="5"/>
        <v>8474126.5911676269</v>
      </c>
      <c r="AZ18" s="28">
        <f t="shared" si="5"/>
        <v>8777918.8484592941</v>
      </c>
      <c r="BA18" s="28">
        <f t="shared" si="5"/>
        <v>9227855.8432509601</v>
      </c>
    </row>
    <row r="19" spans="1:53" ht="12.75" customHeight="1" x14ac:dyDescent="0.25">
      <c r="B19" s="61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</row>
    <row r="20" spans="1:53" ht="15.75" customHeight="1" x14ac:dyDescent="0.35">
      <c r="A20" s="26" t="s">
        <v>207</v>
      </c>
      <c r="B20" s="61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</row>
    <row r="21" spans="1:53" ht="12.75" customHeight="1" x14ac:dyDescent="0.25">
      <c r="B21" s="61" t="s">
        <v>178</v>
      </c>
      <c r="C21" s="45">
        <f>-P_L!C78-'Cashflow Workings'!C40</f>
        <v>0</v>
      </c>
      <c r="D21" s="45">
        <f>C21-P_L!D78-'Cashflow Workings'!D40</f>
        <v>0</v>
      </c>
      <c r="E21" s="45">
        <f>D21-P_L!E78-'Cashflow Workings'!E40</f>
        <v>-182615.72938461541</v>
      </c>
      <c r="F21" s="45">
        <f>E21-P_L!F78-'Cashflow Workings'!F40</f>
        <v>-187687.38838461597</v>
      </c>
      <c r="G21" s="45">
        <f>F21-P_L!G78-'Cashflow Workings'!G40</f>
        <v>-177454.88400239343</v>
      </c>
      <c r="H21" s="45">
        <f>G21-P_L!H78-'Cashflow Workings'!H40</f>
        <v>-143517.7507737554</v>
      </c>
      <c r="I21" s="45">
        <f>H21-P_L!I78-'Cashflow Workings'!I40</f>
        <v>-75391.039176282109</v>
      </c>
      <c r="J21" s="45">
        <f>I21-P_L!J78-'Cashflow Workings'!J40</f>
        <v>-7077.6770926992031</v>
      </c>
      <c r="K21" s="45">
        <f>J21-P_L!K78-'Cashflow Workings'!K40</f>
        <v>-2536.2297738425059</v>
      </c>
      <c r="L21" s="45">
        <f>K21-P_L!L78-'Cashflow Workings'!L40</f>
        <v>8629.5651987821238</v>
      </c>
      <c r="M21" s="45">
        <f>L21-P_L!M78-'Cashflow Workings'!M40</f>
        <v>7114.5664508445561</v>
      </c>
      <c r="N21" s="45">
        <f>M21-P_L!N78-'Cashflow Workings'!N40</f>
        <v>28386.299953440357</v>
      </c>
      <c r="O21" s="45">
        <f>N21-P_L!O78-'Cashflow Workings'!O40</f>
        <v>-37099.392338254627</v>
      </c>
      <c r="P21" s="45">
        <f>O21-P_L!P78-'Cashflow Workings'!P40</f>
        <v>-50908.1048459257</v>
      </c>
      <c r="Q21" s="45">
        <f>P21-P_L!Q78-'Cashflow Workings'!Q40</f>
        <v>-38780.376728656862</v>
      </c>
      <c r="R21" s="45">
        <f>Q21-P_L!R78-'Cashflow Workings'!R40</f>
        <v>-13787.355243063994</v>
      </c>
      <c r="S21" s="45">
        <f>R21-P_L!S78-'Cashflow Workings'!S40</f>
        <v>26035.022296975087</v>
      </c>
      <c r="T21" s="45">
        <f>S21-P_L!T78-'Cashflow Workings'!T40</f>
        <v>91909.34556099477</v>
      </c>
      <c r="U21" s="45">
        <f>T21-P_L!U78-'Cashflow Workings'!U40</f>
        <v>198289.08624301912</v>
      </c>
      <c r="V21" s="45">
        <f>U21-P_L!V78-'Cashflow Workings'!V40</f>
        <v>304869.55510304309</v>
      </c>
      <c r="W21" s="45">
        <f>V21-P_L!W78-'Cashflow Workings'!W40</f>
        <v>338176.30100891774</v>
      </c>
      <c r="X21" s="45">
        <f>W21-P_L!X78-'Cashflow Workings'!X40</f>
        <v>414961.19814262871</v>
      </c>
      <c r="Y21" s="45">
        <f>X21-P_L!Y78-'Cashflow Workings'!Y40</f>
        <v>441359.43038703175</v>
      </c>
      <c r="Z21" s="45">
        <f>Y21-P_L!Z78-'Cashflow Workings'!Z40</f>
        <v>308747.99696827051</v>
      </c>
      <c r="AA21" s="45">
        <f>Z21-P_L!AA78-'Cashflow Workings'!AA40</f>
        <v>291040.28154577216</v>
      </c>
      <c r="AB21" s="45">
        <f>AA21-P_L!AB78-'Cashflow Workings'!AB40</f>
        <v>310743.19845649361</v>
      </c>
      <c r="AC21" s="45">
        <f>AB21-P_L!AC78-'Cashflow Workings'!AC40</f>
        <v>352603.97128163074</v>
      </c>
      <c r="AD21" s="45">
        <f>AC21-P_L!AD78-'Cashflow Workings'!AD40</f>
        <v>449184.84301475156</v>
      </c>
      <c r="AE21" s="45">
        <f>AD21-P_L!AE78-'Cashflow Workings'!AE40</f>
        <v>526728.71002439759</v>
      </c>
      <c r="AF21" s="45">
        <f>AE21-P_L!AF78-'Cashflow Workings'!AF40</f>
        <v>621783.44191721629</v>
      </c>
      <c r="AG21" s="45">
        <f>AF21-P_L!AG78-'Cashflow Workings'!AG40</f>
        <v>794008.23960914393</v>
      </c>
      <c r="AH21" s="45">
        <f>AG21-P_L!AH78-'Cashflow Workings'!AH40</f>
        <v>930275.25782828324</v>
      </c>
      <c r="AI21" s="45">
        <f>AH21-P_L!AI78-'Cashflow Workings'!AI40</f>
        <v>990234.9210937703</v>
      </c>
      <c r="AJ21" s="45">
        <f>AI21-P_L!AJ78-'Cashflow Workings'!AJ40</f>
        <v>1183872.2978215632</v>
      </c>
      <c r="AK21" s="45">
        <f>AJ21-P_L!AK78-'Cashflow Workings'!AK40</f>
        <v>1235677.9019166077</v>
      </c>
      <c r="AL21" s="45">
        <f>AK21-P_L!AL78-'Cashflow Workings'!AL40</f>
        <v>1313229.0603684015</v>
      </c>
      <c r="AM21" s="45">
        <f>AL21-P_L!AM78-'Cashflow Workings'!AM40</f>
        <v>1408996.3329460626</v>
      </c>
      <c r="AN21" s="45">
        <f>AM21-P_L!AN78-'Cashflow Workings'!AN40</f>
        <v>1444492.6783934776</v>
      </c>
      <c r="AO21" s="45">
        <f>AN21-P_L!AO78-'Cashflow Workings'!AO40</f>
        <v>1512614.3230251025</v>
      </c>
      <c r="AP21" s="25">
        <f>'Bal Sheet Workings'!AP21</f>
        <v>1724558.003421264</v>
      </c>
      <c r="AQ21" s="25">
        <f>'Bal Sheet Workings'!AQ21</f>
        <v>1820248.8691235378</v>
      </c>
      <c r="AR21" s="25">
        <f>'Bal Sheet Workings'!AR21</f>
        <v>1932865.3997307739</v>
      </c>
      <c r="AS21" s="25">
        <f>'Bal Sheet Workings'!AS21</f>
        <v>2212798.5615946199</v>
      </c>
      <c r="AT21" s="25">
        <f>'Bal Sheet Workings'!AT21</f>
        <v>2367211.9885151167</v>
      </c>
      <c r="AU21" s="25">
        <f>'Bal Sheet Workings'!AU21</f>
        <v>2446661.3453369387</v>
      </c>
      <c r="AV21" s="25">
        <f>'Bal Sheet Workings'!AV21</f>
        <v>2744179.7795989048</v>
      </c>
      <c r="AW21" s="25">
        <f>'Bal Sheet Workings'!AW21</f>
        <v>2812961.231414672</v>
      </c>
      <c r="AX21" s="25">
        <f>'Bal Sheet Workings'!AX21</f>
        <v>2908658.0567918429</v>
      </c>
      <c r="AY21" s="25">
        <f>'Bal Sheet Workings'!AY21</f>
        <v>3099293.0869665686</v>
      </c>
      <c r="AZ21" s="25">
        <f>'Bal Sheet Workings'!AZ21</f>
        <v>3150594.7467382164</v>
      </c>
      <c r="BA21" s="25">
        <f>'Bal Sheet Workings'!BA21</f>
        <v>3236861.5337886703</v>
      </c>
    </row>
    <row r="22" spans="1:53" ht="12.75" customHeight="1" x14ac:dyDescent="0.25">
      <c r="B22" s="61" t="s">
        <v>208</v>
      </c>
      <c r="C22" s="62">
        <f>'Cashflow Workings'!C55-'Cashflow Workings'!C42</f>
        <v>0</v>
      </c>
      <c r="D22" s="45">
        <f>C22+'Cashflow Workings'!D55-'Cashflow Workings'!D42</f>
        <v>0</v>
      </c>
      <c r="E22" s="45">
        <f>D22+'Cashflow Workings'!E55-'Cashflow Workings'!E42</f>
        <v>-82373.659794871812</v>
      </c>
      <c r="F22" s="45">
        <f>E22+'Cashflow Workings'!F55-'Cashflow Workings'!F42</f>
        <v>55927.217583333288</v>
      </c>
      <c r="G22" s="45">
        <f>F22+'Cashflow Workings'!G55-'Cashflow Workings'!G42</f>
        <v>176462.93666666659</v>
      </c>
      <c r="H22" s="45">
        <f>G22+'Cashflow Workings'!H55-'Cashflow Workings'!H42</f>
        <v>308418.53124999994</v>
      </c>
      <c r="I22" s="45">
        <f>H22+'Cashflow Workings'!I55-'Cashflow Workings'!I42</f>
        <v>154091.54120833328</v>
      </c>
      <c r="J22" s="45">
        <f>I22+'Cashflow Workings'!J55-'Cashflow Workings'!J42</f>
        <v>308183.08241666656</v>
      </c>
      <c r="K22" s="45">
        <f>J22+'Cashflow Workings'!K55-'Cashflow Workings'!K42</f>
        <v>422664.55074999988</v>
      </c>
      <c r="L22" s="45">
        <f>K22+'Cashflow Workings'!L55-'Cashflow Workings'!L42</f>
        <v>120535.71908333327</v>
      </c>
      <c r="M22" s="45">
        <f>L22+'Cashflow Workings'!M55-'Cashflow Workings'!M42</f>
        <v>228962.93666666656</v>
      </c>
      <c r="N22" s="45">
        <f>M22+'Cashflow Workings'!N55-'Cashflow Workings'!N42</f>
        <v>355171.37209999986</v>
      </c>
      <c r="O22" s="45">
        <f>N22+'Cashflow Workings'!O55-'Cashflow Workings'!O42</f>
        <v>47884.710083333252</v>
      </c>
      <c r="P22" s="45">
        <f>O22+'Cashflow Workings'!P55-'Cashflow Workings'!P42</f>
        <v>144203.42616666656</v>
      </c>
      <c r="Q22" s="45">
        <f>P22+'Cashflow Workings'!Q55-'Cashflow Workings'!Q42</f>
        <v>264739.14524999983</v>
      </c>
      <c r="R22" s="45">
        <f>Q22+'Cashflow Workings'!R55-'Cashflow Workings'!R42</f>
        <v>123325.69208333321</v>
      </c>
      <c r="S22" s="45">
        <f>R22+'Cashflow Workings'!S55-'Cashflow Workings'!S42</f>
        <v>259787.36666666655</v>
      </c>
      <c r="T22" s="45">
        <f>S22+'Cashflow Workings'!T55-'Cashflow Workings'!T42</f>
        <v>409030.0824999999</v>
      </c>
      <c r="U22" s="45">
        <f>T22+'Cashflow Workings'!U55-'Cashflow Workings'!U42</f>
        <v>175054.74483333318</v>
      </c>
      <c r="V22" s="45">
        <f>U22+'Cashflow Workings'!V55-'Cashflow Workings'!V42</f>
        <v>350109.48966666649</v>
      </c>
      <c r="W22" s="45">
        <f>V22+'Cashflow Workings'!W55-'Cashflow Workings'!W42</f>
        <v>480003.17299999978</v>
      </c>
      <c r="X22" s="45">
        <f>W22+'Cashflow Workings'!X55-'Cashflow Workings'!X42</f>
        <v>136461.6745833332</v>
      </c>
      <c r="Y22" s="45">
        <f>X22+'Cashflow Workings'!Y55-'Cashflow Workings'!Y42</f>
        <v>259787.36666666652</v>
      </c>
      <c r="Z22" s="45">
        <f>Y22+'Cashflow Workings'!Z55-'Cashflow Workings'!Z42</f>
        <v>401363.78549999988</v>
      </c>
      <c r="AA22" s="45">
        <f>Z22+'Cashflow Workings'!AA55-'Cashflow Workings'!AA42</f>
        <v>51077.788333333214</v>
      </c>
      <c r="AB22" s="45">
        <f>AA22+'Cashflow Workings'!AB55-'Cashflow Workings'!AB42</f>
        <v>167835.48916666649</v>
      </c>
      <c r="AC22" s="45">
        <f>AB22+'Cashflow Workings'!AC55-'Cashflow Workings'!AC42</f>
        <v>304297.16374999983</v>
      </c>
      <c r="AD22" s="45">
        <f>AC22+'Cashflow Workings'!AD55-'Cashflow Workings'!AD42</f>
        <v>142682.30033333314</v>
      </c>
      <c r="AE22" s="45">
        <f>AD22+'Cashflow Workings'!AE55-'Cashflow Workings'!AE42</f>
        <v>299835.52166666649</v>
      </c>
      <c r="AF22" s="45">
        <f>AE22+'Cashflow Workings'!AF55-'Cashflow Workings'!AF42</f>
        <v>464902.52499999979</v>
      </c>
      <c r="AG22" s="45">
        <f>AF22+'Cashflow Workings'!AG55-'Cashflow Workings'!AG42</f>
        <v>191406.50858333323</v>
      </c>
      <c r="AH22" s="45">
        <f>AG22+'Cashflow Workings'!AH55-'Cashflow Workings'!AH42</f>
        <v>382813.01716666657</v>
      </c>
      <c r="AI22" s="45">
        <f>AH22+'Cashflow Workings'!AI55-'Cashflow Workings'!AI42</f>
        <v>527406.0442499998</v>
      </c>
      <c r="AJ22" s="45">
        <f>AI22+'Cashflow Workings'!AJ55-'Cashflow Workings'!AJ42</f>
        <v>151650.99645833322</v>
      </c>
      <c r="AK22" s="45">
        <f>AJ22+'Cashflow Workings'!AK55-'Cashflow Workings'!AK42</f>
        <v>289186.05416666652</v>
      </c>
      <c r="AL22" s="45">
        <f>AK22+'Cashflow Workings'!AL55-'Cashflow Workings'!AL42</f>
        <v>446339.27549999987</v>
      </c>
      <c r="AM22" s="45">
        <f>AL22+'Cashflow Workings'!AM55-'Cashflow Workings'!AM42</f>
        <v>66955.363958333211</v>
      </c>
      <c r="AN22" s="45">
        <f>AM22+'Cashflow Workings'!AN55-'Cashflow Workings'!AN42</f>
        <v>190374.48291666651</v>
      </c>
      <c r="AO22" s="45">
        <f>AN22+'Cashflow Workings'!AO55-'Cashflow Workings'!AO42</f>
        <v>342025.47937499988</v>
      </c>
      <c r="AP22" s="25">
        <f>'Bal Sheet Workings'!AP22</f>
        <v>157725.79295833316</v>
      </c>
      <c r="AQ22" s="25">
        <f>'Bal Sheet Workings'!AQ22</f>
        <v>325457.76429166645</v>
      </c>
      <c r="AR22" s="25">
        <f>'Bal Sheet Workings'!AR22</f>
        <v>500762.26762499975</v>
      </c>
      <c r="AS22" s="25">
        <f>'Bal Sheet Workings'!AS22</f>
        <v>201985.25858333323</v>
      </c>
      <c r="AT22" s="25">
        <f>'Bal Sheet Workings'!AT22</f>
        <v>403970.51716666657</v>
      </c>
      <c r="AU22" s="25">
        <f>'Bal Sheet Workings'!AU22</f>
        <v>559925.9879999999</v>
      </c>
      <c r="AV22" s="25">
        <f>'Bal Sheet Workings'!AV22</f>
        <v>163392.18833333335</v>
      </c>
      <c r="AW22" s="25">
        <f>'Bal Sheet Workings'!AW22</f>
        <v>310823.49604166666</v>
      </c>
      <c r="AX22" s="25">
        <f>'Bal Sheet Workings'!AX22</f>
        <v>478555.46737500001</v>
      </c>
      <c r="AY22" s="25">
        <f>'Bal Sheet Workings'!AY22</f>
        <v>73439.113958333386</v>
      </c>
      <c r="AZ22" s="25">
        <f>'Bal Sheet Workings'!AZ22</f>
        <v>206071.98291666672</v>
      </c>
      <c r="BA22" s="25">
        <f>'Bal Sheet Workings'!BA22</f>
        <v>368301.72937500011</v>
      </c>
    </row>
    <row r="23" spans="1:53" ht="12.75" customHeight="1" x14ac:dyDescent="0.25">
      <c r="B23" s="61" t="s">
        <v>209</v>
      </c>
      <c r="C23" s="45">
        <f>'Cashflow Workings'!C16-'Cashflow Workings'!C41</f>
        <v>0</v>
      </c>
      <c r="D23" s="45">
        <f>C23+'Cashflow Workings'!D16-'Cashflow Workings'!D41</f>
        <v>0</v>
      </c>
      <c r="E23" s="45" t="e">
        <f>D23+'Cashflow Workings'!#REF!-'Cashflow Workings'!E41</f>
        <v>#REF!</v>
      </c>
      <c r="F23" s="45" t="e">
        <f>E23+'Cashflow Workings'!#REF!-'Cashflow Workings'!F41</f>
        <v>#REF!</v>
      </c>
      <c r="G23" s="45" t="e">
        <f>F23+'Cashflow Workings'!G16-'Cashflow Workings'!G41</f>
        <v>#REF!</v>
      </c>
      <c r="H23" s="45" t="e">
        <f>G23+'Cashflow Workings'!H16-'Cashflow Workings'!H41</f>
        <v>#REF!</v>
      </c>
      <c r="I23" s="45" t="e">
        <f>H23+'Cashflow Workings'!I16-'Cashflow Workings'!I41</f>
        <v>#REF!</v>
      </c>
      <c r="J23" s="45" t="e">
        <f>I23+'Cashflow Workings'!J16-'Cashflow Workings'!J41</f>
        <v>#REF!</v>
      </c>
      <c r="K23" s="45" t="e">
        <f>J23+'Cashflow Workings'!K16-'Cashflow Workings'!K41</f>
        <v>#REF!</v>
      </c>
      <c r="L23" s="45" t="e">
        <f>K23+'Cashflow Workings'!L16-'Cashflow Workings'!L41</f>
        <v>#REF!</v>
      </c>
      <c r="M23" s="45" t="e">
        <f>L23+'Cashflow Workings'!M16-'Cashflow Workings'!M41</f>
        <v>#REF!</v>
      </c>
      <c r="N23" s="45" t="e">
        <f>M23+'Cashflow Workings'!N16-'Cashflow Workings'!N41</f>
        <v>#REF!</v>
      </c>
      <c r="O23" s="45" t="e">
        <f>N23+'Cashflow Workings'!O16-'Cashflow Workings'!O41</f>
        <v>#REF!</v>
      </c>
      <c r="P23" s="45" t="e">
        <f>O23+'Cashflow Workings'!P16-'Cashflow Workings'!P41</f>
        <v>#REF!</v>
      </c>
      <c r="Q23" s="45" t="e">
        <f>P23+'Cashflow Workings'!Q16-'Cashflow Workings'!Q41</f>
        <v>#REF!</v>
      </c>
      <c r="R23" s="45" t="e">
        <f>Q23+'Cashflow Workings'!R16-'Cashflow Workings'!R41</f>
        <v>#REF!</v>
      </c>
      <c r="S23" s="45" t="e">
        <f>R23+'Cashflow Workings'!S16-'Cashflow Workings'!S41</f>
        <v>#REF!</v>
      </c>
      <c r="T23" s="45" t="e">
        <f>S23+'Cashflow Workings'!T16-'Cashflow Workings'!T41</f>
        <v>#REF!</v>
      </c>
      <c r="U23" s="45" t="e">
        <f>T23+'Cashflow Workings'!U16-'Cashflow Workings'!U41</f>
        <v>#REF!</v>
      </c>
      <c r="V23" s="45" t="e">
        <f>U23+'Cashflow Workings'!V16-'Cashflow Workings'!V41</f>
        <v>#REF!</v>
      </c>
      <c r="W23" s="45" t="e">
        <f>V23+'Cashflow Workings'!W16-'Cashflow Workings'!W41</f>
        <v>#REF!</v>
      </c>
      <c r="X23" s="45" t="e">
        <f>W23+'Cashflow Workings'!X16-'Cashflow Workings'!X41</f>
        <v>#REF!</v>
      </c>
      <c r="Y23" s="45" t="e">
        <f>X23+'Cashflow Workings'!Y16-'Cashflow Workings'!Y41</f>
        <v>#REF!</v>
      </c>
      <c r="Z23" s="45" t="e">
        <f>Y23+'Cashflow Workings'!Z16-'Cashflow Workings'!Z41</f>
        <v>#REF!</v>
      </c>
      <c r="AA23" s="45" t="e">
        <f>Z23+'Cashflow Workings'!AA16-'Cashflow Workings'!AA41</f>
        <v>#REF!</v>
      </c>
      <c r="AB23" s="45" t="e">
        <f>AA23+'Cashflow Workings'!AB16-'Cashflow Workings'!AB41</f>
        <v>#REF!</v>
      </c>
      <c r="AC23" s="45" t="e">
        <f>AB23+'Cashflow Workings'!AC16-'Cashflow Workings'!AC41</f>
        <v>#REF!</v>
      </c>
      <c r="AD23" s="45" t="e">
        <f>AC23+'Cashflow Workings'!AD16-'Cashflow Workings'!AD41</f>
        <v>#REF!</v>
      </c>
      <c r="AE23" s="45" t="e">
        <f>AD23+'Cashflow Workings'!AE16-'Cashflow Workings'!AE41</f>
        <v>#REF!</v>
      </c>
      <c r="AF23" s="45" t="e">
        <f>AE23+'Cashflow Workings'!AF16-'Cashflow Workings'!AF41</f>
        <v>#REF!</v>
      </c>
      <c r="AG23" s="45" t="e">
        <f>AF23+'Cashflow Workings'!AG16-'Cashflow Workings'!AG41</f>
        <v>#REF!</v>
      </c>
      <c r="AH23" s="45" t="e">
        <f>AG23+'Cashflow Workings'!AH16-'Cashflow Workings'!AH41</f>
        <v>#REF!</v>
      </c>
      <c r="AI23" s="45" t="e">
        <f>AH23+'Cashflow Workings'!AI16-'Cashflow Workings'!AI41</f>
        <v>#REF!</v>
      </c>
      <c r="AJ23" s="45" t="e">
        <f>AI23+'Cashflow Workings'!AJ16-'Cashflow Workings'!AJ41</f>
        <v>#REF!</v>
      </c>
      <c r="AK23" s="45" t="e">
        <f>AJ23+'Cashflow Workings'!AK16-'Cashflow Workings'!AK41</f>
        <v>#REF!</v>
      </c>
      <c r="AL23" s="45" t="e">
        <f>AK23+'Cashflow Workings'!AL16-'Cashflow Workings'!AL41</f>
        <v>#REF!</v>
      </c>
      <c r="AM23" s="45" t="e">
        <f>AL23+'Cashflow Workings'!AM16-'Cashflow Workings'!AM41</f>
        <v>#REF!</v>
      </c>
      <c r="AN23" s="45" t="e">
        <f>AM23+'Cashflow Workings'!AN16-'Cashflow Workings'!AN41</f>
        <v>#REF!</v>
      </c>
      <c r="AO23" s="45" t="e">
        <f>AN23+'Cashflow Workings'!AO16-'Cashflow Workings'!AO41</f>
        <v>#REF!</v>
      </c>
      <c r="AP23" s="25">
        <f>'Bal Sheet Workings'!AP23</f>
        <v>44897.119999949144</v>
      </c>
      <c r="AQ23" s="25">
        <f>'Bal Sheet Workings'!AQ23</f>
        <v>44897.119999949144</v>
      </c>
      <c r="AR23" s="25">
        <f>'Bal Sheet Workings'!AR23</f>
        <v>44897.119999949144</v>
      </c>
      <c r="AS23" s="25">
        <f>'Bal Sheet Workings'!AS23</f>
        <v>44897.119999949144</v>
      </c>
      <c r="AT23" s="25">
        <f>'Bal Sheet Workings'!AT23</f>
        <v>44897.119999949144</v>
      </c>
      <c r="AU23" s="25">
        <f>'Bal Sheet Workings'!AU23</f>
        <v>44897.119999949144</v>
      </c>
      <c r="AV23" s="25">
        <f>'Bal Sheet Workings'!AV23</f>
        <v>44897.119999949144</v>
      </c>
      <c r="AW23" s="25">
        <f>'Bal Sheet Workings'!AW23</f>
        <v>44897.119999949144</v>
      </c>
      <c r="AX23" s="25">
        <f>'Bal Sheet Workings'!AX23</f>
        <v>44897.119999949144</v>
      </c>
      <c r="AY23" s="25">
        <f>'Bal Sheet Workings'!AY23</f>
        <v>44897.119999949144</v>
      </c>
      <c r="AZ23" s="25">
        <f>'Bal Sheet Workings'!AZ23</f>
        <v>44897.119999949144</v>
      </c>
      <c r="BA23" s="25">
        <f>'Bal Sheet Workings'!BA23</f>
        <v>44897.119999949144</v>
      </c>
    </row>
    <row r="24" spans="1:53" ht="12.75" customHeight="1" x14ac:dyDescent="0.25">
      <c r="B24" s="61"/>
      <c r="C24" s="72">
        <f t="shared" ref="C24:AH24" si="6">SUM(C21:C23)</f>
        <v>0</v>
      </c>
      <c r="D24" s="72">
        <f t="shared" si="6"/>
        <v>0</v>
      </c>
      <c r="E24" s="72" t="e">
        <f t="shared" si="6"/>
        <v>#REF!</v>
      </c>
      <c r="F24" s="72" t="e">
        <f t="shared" si="6"/>
        <v>#REF!</v>
      </c>
      <c r="G24" s="72" t="e">
        <f t="shared" si="6"/>
        <v>#REF!</v>
      </c>
      <c r="H24" s="72" t="e">
        <f t="shared" si="6"/>
        <v>#REF!</v>
      </c>
      <c r="I24" s="72" t="e">
        <f t="shared" si="6"/>
        <v>#REF!</v>
      </c>
      <c r="J24" s="72" t="e">
        <f t="shared" si="6"/>
        <v>#REF!</v>
      </c>
      <c r="K24" s="72" t="e">
        <f t="shared" si="6"/>
        <v>#REF!</v>
      </c>
      <c r="L24" s="72" t="e">
        <f t="shared" si="6"/>
        <v>#REF!</v>
      </c>
      <c r="M24" s="72" t="e">
        <f t="shared" si="6"/>
        <v>#REF!</v>
      </c>
      <c r="N24" s="72" t="e">
        <f t="shared" si="6"/>
        <v>#REF!</v>
      </c>
      <c r="O24" s="72" t="e">
        <f t="shared" si="6"/>
        <v>#REF!</v>
      </c>
      <c r="P24" s="72" t="e">
        <f t="shared" si="6"/>
        <v>#REF!</v>
      </c>
      <c r="Q24" s="72" t="e">
        <f t="shared" si="6"/>
        <v>#REF!</v>
      </c>
      <c r="R24" s="72" t="e">
        <f t="shared" si="6"/>
        <v>#REF!</v>
      </c>
      <c r="S24" s="72" t="e">
        <f t="shared" si="6"/>
        <v>#REF!</v>
      </c>
      <c r="T24" s="72" t="e">
        <f t="shared" si="6"/>
        <v>#REF!</v>
      </c>
      <c r="U24" s="72" t="e">
        <f t="shared" si="6"/>
        <v>#REF!</v>
      </c>
      <c r="V24" s="72" t="e">
        <f t="shared" si="6"/>
        <v>#REF!</v>
      </c>
      <c r="W24" s="72" t="e">
        <f t="shared" si="6"/>
        <v>#REF!</v>
      </c>
      <c r="X24" s="72" t="e">
        <f t="shared" si="6"/>
        <v>#REF!</v>
      </c>
      <c r="Y24" s="72" t="e">
        <f t="shared" si="6"/>
        <v>#REF!</v>
      </c>
      <c r="Z24" s="72" t="e">
        <f t="shared" si="6"/>
        <v>#REF!</v>
      </c>
      <c r="AA24" s="72" t="e">
        <f t="shared" si="6"/>
        <v>#REF!</v>
      </c>
      <c r="AB24" s="72" t="e">
        <f t="shared" si="6"/>
        <v>#REF!</v>
      </c>
      <c r="AC24" s="72" t="e">
        <f t="shared" si="6"/>
        <v>#REF!</v>
      </c>
      <c r="AD24" s="72" t="e">
        <f t="shared" si="6"/>
        <v>#REF!</v>
      </c>
      <c r="AE24" s="72" t="e">
        <f t="shared" si="6"/>
        <v>#REF!</v>
      </c>
      <c r="AF24" s="72" t="e">
        <f t="shared" si="6"/>
        <v>#REF!</v>
      </c>
      <c r="AG24" s="72" t="e">
        <f t="shared" si="6"/>
        <v>#REF!</v>
      </c>
      <c r="AH24" s="72" t="e">
        <f t="shared" si="6"/>
        <v>#REF!</v>
      </c>
      <c r="AI24" s="72" t="e">
        <f t="shared" ref="AI24:BA24" si="7">SUM(AI21:AI23)</f>
        <v>#REF!</v>
      </c>
      <c r="AJ24" s="72" t="e">
        <f t="shared" si="7"/>
        <v>#REF!</v>
      </c>
      <c r="AK24" s="72" t="e">
        <f t="shared" si="7"/>
        <v>#REF!</v>
      </c>
      <c r="AL24" s="72" t="e">
        <f t="shared" si="7"/>
        <v>#REF!</v>
      </c>
      <c r="AM24" s="72" t="e">
        <f t="shared" si="7"/>
        <v>#REF!</v>
      </c>
      <c r="AN24" s="72" t="e">
        <f t="shared" si="7"/>
        <v>#REF!</v>
      </c>
      <c r="AO24" s="72" t="e">
        <f t="shared" si="7"/>
        <v>#REF!</v>
      </c>
      <c r="AP24" s="28">
        <f t="shared" si="7"/>
        <v>1927180.9163795463</v>
      </c>
      <c r="AQ24" s="28">
        <f t="shared" si="7"/>
        <v>2190603.7534151538</v>
      </c>
      <c r="AR24" s="28">
        <f t="shared" si="7"/>
        <v>2478524.7873557229</v>
      </c>
      <c r="AS24" s="28">
        <f t="shared" si="7"/>
        <v>2459680.9401779026</v>
      </c>
      <c r="AT24" s="28">
        <f t="shared" si="7"/>
        <v>2816079.6256817328</v>
      </c>
      <c r="AU24" s="28">
        <f t="shared" si="7"/>
        <v>3051484.453336888</v>
      </c>
      <c r="AV24" s="28">
        <f t="shared" si="7"/>
        <v>2952469.0879321876</v>
      </c>
      <c r="AW24" s="28">
        <f t="shared" si="7"/>
        <v>3168681.8474562881</v>
      </c>
      <c r="AX24" s="28">
        <f t="shared" si="7"/>
        <v>3432110.6441667923</v>
      </c>
      <c r="AY24" s="28">
        <f t="shared" si="7"/>
        <v>3217629.3209248516</v>
      </c>
      <c r="AZ24" s="28">
        <f t="shared" si="7"/>
        <v>3401563.8496548324</v>
      </c>
      <c r="BA24" s="28">
        <f t="shared" si="7"/>
        <v>3650060.3831636198</v>
      </c>
    </row>
    <row r="25" spans="1:53" ht="12.75" customHeight="1" x14ac:dyDescent="0.25">
      <c r="B25" s="61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</row>
    <row r="26" spans="1:53" ht="12.75" customHeight="1" x14ac:dyDescent="0.25">
      <c r="B26" s="61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</row>
    <row r="27" spans="1:53" ht="12.75" customHeight="1" x14ac:dyDescent="0.35">
      <c r="A27" s="26" t="s">
        <v>210</v>
      </c>
      <c r="B27" s="61"/>
      <c r="C27" s="45">
        <f t="shared" ref="C27:AH27" si="8">C18-C24</f>
        <v>0</v>
      </c>
      <c r="D27" s="45">
        <f t="shared" si="8"/>
        <v>0</v>
      </c>
      <c r="E27" s="45" t="e">
        <f t="shared" si="8"/>
        <v>#REF!</v>
      </c>
      <c r="F27" s="45" t="e">
        <f t="shared" si="8"/>
        <v>#REF!</v>
      </c>
      <c r="G27" s="45" t="e">
        <f t="shared" si="8"/>
        <v>#REF!</v>
      </c>
      <c r="H27" s="45" t="e">
        <f t="shared" si="8"/>
        <v>#REF!</v>
      </c>
      <c r="I27" s="45" t="e">
        <f t="shared" si="8"/>
        <v>#REF!</v>
      </c>
      <c r="J27" s="45" t="e">
        <f t="shared" si="8"/>
        <v>#REF!</v>
      </c>
      <c r="K27" s="45" t="e">
        <f t="shared" si="8"/>
        <v>#REF!</v>
      </c>
      <c r="L27" s="45" t="e">
        <f t="shared" si="8"/>
        <v>#REF!</v>
      </c>
      <c r="M27" s="45" t="e">
        <f t="shared" si="8"/>
        <v>#REF!</v>
      </c>
      <c r="N27" s="45" t="e">
        <f t="shared" si="8"/>
        <v>#REF!</v>
      </c>
      <c r="O27" s="45" t="e">
        <f t="shared" si="8"/>
        <v>#REF!</v>
      </c>
      <c r="P27" s="45" t="e">
        <f t="shared" si="8"/>
        <v>#REF!</v>
      </c>
      <c r="Q27" s="45" t="e">
        <f t="shared" si="8"/>
        <v>#REF!</v>
      </c>
      <c r="R27" s="45" t="e">
        <f t="shared" si="8"/>
        <v>#REF!</v>
      </c>
      <c r="S27" s="45" t="e">
        <f t="shared" si="8"/>
        <v>#REF!</v>
      </c>
      <c r="T27" s="45" t="e">
        <f t="shared" si="8"/>
        <v>#REF!</v>
      </c>
      <c r="U27" s="45" t="e">
        <f t="shared" si="8"/>
        <v>#REF!</v>
      </c>
      <c r="V27" s="45" t="e">
        <f t="shared" si="8"/>
        <v>#REF!</v>
      </c>
      <c r="W27" s="45" t="e">
        <f t="shared" si="8"/>
        <v>#REF!</v>
      </c>
      <c r="X27" s="45" t="e">
        <f t="shared" si="8"/>
        <v>#REF!</v>
      </c>
      <c r="Y27" s="45" t="e">
        <f t="shared" si="8"/>
        <v>#REF!</v>
      </c>
      <c r="Z27" s="45" t="e">
        <f t="shared" si="8"/>
        <v>#REF!</v>
      </c>
      <c r="AA27" s="45" t="e">
        <f t="shared" si="8"/>
        <v>#REF!</v>
      </c>
      <c r="AB27" s="45" t="e">
        <f t="shared" si="8"/>
        <v>#REF!</v>
      </c>
      <c r="AC27" s="45" t="e">
        <f t="shared" si="8"/>
        <v>#REF!</v>
      </c>
      <c r="AD27" s="45" t="e">
        <f t="shared" si="8"/>
        <v>#REF!</v>
      </c>
      <c r="AE27" s="45" t="e">
        <f t="shared" si="8"/>
        <v>#REF!</v>
      </c>
      <c r="AF27" s="45" t="e">
        <f t="shared" si="8"/>
        <v>#REF!</v>
      </c>
      <c r="AG27" s="45" t="e">
        <f t="shared" si="8"/>
        <v>#REF!</v>
      </c>
      <c r="AH27" s="45" t="e">
        <f t="shared" si="8"/>
        <v>#REF!</v>
      </c>
      <c r="AI27" s="45" t="e">
        <f t="shared" ref="AI27:BA27" si="9">AI18-AI24</f>
        <v>#REF!</v>
      </c>
      <c r="AJ27" s="45" t="e">
        <f t="shared" si="9"/>
        <v>#REF!</v>
      </c>
      <c r="AK27" s="45" t="e">
        <f t="shared" si="9"/>
        <v>#REF!</v>
      </c>
      <c r="AL27" s="45" t="e">
        <f t="shared" si="9"/>
        <v>#REF!</v>
      </c>
      <c r="AM27" s="45" t="e">
        <f t="shared" si="9"/>
        <v>#REF!</v>
      </c>
      <c r="AN27" s="45" t="e">
        <f t="shared" si="9"/>
        <v>#REF!</v>
      </c>
      <c r="AO27" s="45" t="e">
        <f t="shared" si="9"/>
        <v>#REF!</v>
      </c>
      <c r="AP27" s="25">
        <f t="shared" si="9"/>
        <v>3316716.0160803297</v>
      </c>
      <c r="AQ27" s="25">
        <f t="shared" si="9"/>
        <v>3540173.6837113895</v>
      </c>
      <c r="AR27" s="25">
        <f t="shared" si="9"/>
        <v>3803121.586437488</v>
      </c>
      <c r="AS27" s="25">
        <f t="shared" si="9"/>
        <v>4163590.6281737061</v>
      </c>
      <c r="AT27" s="25">
        <f t="shared" si="9"/>
        <v>4524058.8045865428</v>
      </c>
      <c r="AU27" s="25">
        <f t="shared" si="9"/>
        <v>4709607.9810980549</v>
      </c>
      <c r="AV27" s="25">
        <f t="shared" si="9"/>
        <v>4915702.18888993</v>
      </c>
      <c r="AW27" s="25">
        <f t="shared" si="9"/>
        <v>5076354.0554074962</v>
      </c>
      <c r="AX27" s="25">
        <f t="shared" si="9"/>
        <v>5299805.7633636594</v>
      </c>
      <c r="AY27" s="25">
        <f t="shared" si="9"/>
        <v>5256497.2702427749</v>
      </c>
      <c r="AZ27" s="25">
        <f t="shared" si="9"/>
        <v>5376354.9988044612</v>
      </c>
      <c r="BA27" s="25">
        <f t="shared" si="9"/>
        <v>5577795.4600873403</v>
      </c>
    </row>
    <row r="28" spans="1:53" ht="12.75" customHeight="1" x14ac:dyDescent="0.25">
      <c r="B28" s="61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</row>
    <row r="29" spans="1:53" ht="12.75" customHeight="1" x14ac:dyDescent="0.25">
      <c r="B29" s="61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</row>
    <row r="30" spans="1:53" ht="15" customHeight="1" x14ac:dyDescent="0.35">
      <c r="A30" s="26" t="s">
        <v>211</v>
      </c>
      <c r="B30" s="61"/>
      <c r="C30" s="73">
        <f t="shared" ref="C30:AH30" si="10">C27+C12</f>
        <v>19666.666666666668</v>
      </c>
      <c r="D30" s="73">
        <f t="shared" si="10"/>
        <v>19338.888888888891</v>
      </c>
      <c r="E30" s="73" t="e">
        <f t="shared" si="10"/>
        <v>#REF!</v>
      </c>
      <c r="F30" s="73" t="e">
        <f t="shared" si="10"/>
        <v>#REF!</v>
      </c>
      <c r="G30" s="73" t="e">
        <f t="shared" si="10"/>
        <v>#REF!</v>
      </c>
      <c r="H30" s="73" t="e">
        <f t="shared" si="10"/>
        <v>#REF!</v>
      </c>
      <c r="I30" s="73" t="e">
        <f t="shared" si="10"/>
        <v>#REF!</v>
      </c>
      <c r="J30" s="73" t="e">
        <f t="shared" si="10"/>
        <v>#REF!</v>
      </c>
      <c r="K30" s="73" t="e">
        <f t="shared" si="10"/>
        <v>#REF!</v>
      </c>
      <c r="L30" s="73" t="e">
        <f t="shared" si="10"/>
        <v>#REF!</v>
      </c>
      <c r="M30" s="73" t="e">
        <f t="shared" si="10"/>
        <v>#REF!</v>
      </c>
      <c r="N30" s="73" t="e">
        <f t="shared" si="10"/>
        <v>#REF!</v>
      </c>
      <c r="O30" s="73" t="e">
        <f t="shared" si="10"/>
        <v>#REF!</v>
      </c>
      <c r="P30" s="73" t="e">
        <f t="shared" si="10"/>
        <v>#REF!</v>
      </c>
      <c r="Q30" s="73" t="e">
        <f t="shared" si="10"/>
        <v>#REF!</v>
      </c>
      <c r="R30" s="73" t="e">
        <f t="shared" si="10"/>
        <v>#REF!</v>
      </c>
      <c r="S30" s="73" t="e">
        <f t="shared" si="10"/>
        <v>#REF!</v>
      </c>
      <c r="T30" s="73" t="e">
        <f t="shared" si="10"/>
        <v>#REF!</v>
      </c>
      <c r="U30" s="73" t="e">
        <f t="shared" si="10"/>
        <v>#REF!</v>
      </c>
      <c r="V30" s="73" t="e">
        <f t="shared" si="10"/>
        <v>#REF!</v>
      </c>
      <c r="W30" s="73" t="e">
        <f t="shared" si="10"/>
        <v>#REF!</v>
      </c>
      <c r="X30" s="73" t="e">
        <f t="shared" si="10"/>
        <v>#REF!</v>
      </c>
      <c r="Y30" s="73" t="e">
        <f t="shared" si="10"/>
        <v>#REF!</v>
      </c>
      <c r="Z30" s="73" t="e">
        <f t="shared" si="10"/>
        <v>#REF!</v>
      </c>
      <c r="AA30" s="73" t="e">
        <f t="shared" si="10"/>
        <v>#REF!</v>
      </c>
      <c r="AB30" s="73" t="e">
        <f t="shared" si="10"/>
        <v>#REF!</v>
      </c>
      <c r="AC30" s="73" t="e">
        <f t="shared" si="10"/>
        <v>#REF!</v>
      </c>
      <c r="AD30" s="73" t="e">
        <f t="shared" si="10"/>
        <v>#REF!</v>
      </c>
      <c r="AE30" s="73" t="e">
        <f t="shared" si="10"/>
        <v>#REF!</v>
      </c>
      <c r="AF30" s="73" t="e">
        <f t="shared" si="10"/>
        <v>#REF!</v>
      </c>
      <c r="AG30" s="73" t="e">
        <f t="shared" si="10"/>
        <v>#REF!</v>
      </c>
      <c r="AH30" s="73" t="e">
        <f t="shared" si="10"/>
        <v>#REF!</v>
      </c>
      <c r="AI30" s="73" t="e">
        <f t="shared" ref="AI30:BA30" si="11">AI27+AI12</f>
        <v>#REF!</v>
      </c>
      <c r="AJ30" s="73" t="e">
        <f t="shared" si="11"/>
        <v>#REF!</v>
      </c>
      <c r="AK30" s="73" t="e">
        <f t="shared" si="11"/>
        <v>#REF!</v>
      </c>
      <c r="AL30" s="73" t="e">
        <f t="shared" si="11"/>
        <v>#REF!</v>
      </c>
      <c r="AM30" s="73" t="e">
        <f t="shared" si="11"/>
        <v>#REF!</v>
      </c>
      <c r="AN30" s="73" t="e">
        <f t="shared" si="11"/>
        <v>#REF!</v>
      </c>
      <c r="AO30" s="73" t="e">
        <f t="shared" si="11"/>
        <v>#REF!</v>
      </c>
      <c r="AP30" s="47">
        <f t="shared" si="11"/>
        <v>3327454.8756255643</v>
      </c>
      <c r="AQ30" s="47">
        <f t="shared" si="11"/>
        <v>3550733.5622642036</v>
      </c>
      <c r="AR30" s="47">
        <f t="shared" si="11"/>
        <v>3813505.4670144217</v>
      </c>
      <c r="AS30" s="47">
        <f t="shared" si="11"/>
        <v>4173801.4440743579</v>
      </c>
      <c r="AT30" s="47">
        <f t="shared" si="11"/>
        <v>4534099.4402221832</v>
      </c>
      <c r="AU30" s="47">
        <f t="shared" si="11"/>
        <v>4719481.2728064349</v>
      </c>
      <c r="AV30" s="47">
        <f t="shared" si="11"/>
        <v>4925410.9257365037</v>
      </c>
      <c r="AW30" s="47">
        <f t="shared" si="11"/>
        <v>5085900.9799732938</v>
      </c>
      <c r="AX30" s="47">
        <f t="shared" si="11"/>
        <v>5309193.5725200269</v>
      </c>
      <c r="AY30" s="47">
        <f t="shared" si="11"/>
        <v>5265728.615913203</v>
      </c>
      <c r="AZ30" s="47">
        <f t="shared" si="11"/>
        <v>5385432.4887137152</v>
      </c>
      <c r="BA30" s="47">
        <f t="shared" si="11"/>
        <v>5586721.6584981075</v>
      </c>
    </row>
    <row r="31" spans="1:53" ht="12.75" customHeight="1" x14ac:dyDescent="0.25">
      <c r="B31" s="61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</row>
    <row r="32" spans="1:53" ht="12.75" customHeight="1" x14ac:dyDescent="0.25"/>
    <row r="33" spans="1:53" ht="12.75" customHeight="1" x14ac:dyDescent="0.35">
      <c r="B33" s="27" t="s">
        <v>212</v>
      </c>
      <c r="C33" s="25">
        <f>'Cashflow Workings'!C8</f>
        <v>0</v>
      </c>
      <c r="D33" s="25">
        <f>C33+'Cashflow Workings'!D8</f>
        <v>0</v>
      </c>
      <c r="E33" s="25" t="e">
        <f>D33+'Cashflow Workings'!#REF!</f>
        <v>#REF!</v>
      </c>
      <c r="F33" s="25" t="e">
        <f>E33+'Cashflow Workings'!E8</f>
        <v>#REF!</v>
      </c>
      <c r="G33" s="25" t="e">
        <f>F33+'Cashflow Workings'!G8</f>
        <v>#REF!</v>
      </c>
      <c r="H33" s="25" t="e">
        <f>G33+'Cashflow Workings'!H8</f>
        <v>#REF!</v>
      </c>
      <c r="I33" s="25" t="e">
        <f>H33+'Cashflow Workings'!I8</f>
        <v>#REF!</v>
      </c>
      <c r="J33" s="25" t="e">
        <f>I33+'Cashflow Workings'!J8</f>
        <v>#REF!</v>
      </c>
      <c r="K33" s="25" t="e">
        <f>J33+'Cashflow Workings'!K8</f>
        <v>#REF!</v>
      </c>
      <c r="L33" s="25" t="e">
        <f>K33+'Cashflow Workings'!L8</f>
        <v>#REF!</v>
      </c>
      <c r="M33" s="25" t="e">
        <f>L33+'Cashflow Workings'!M8</f>
        <v>#REF!</v>
      </c>
      <c r="N33" s="25" t="e">
        <f>M33+'Cashflow Workings'!N8</f>
        <v>#REF!</v>
      </c>
      <c r="O33" s="25" t="e">
        <f>N33+'Cashflow Workings'!O8</f>
        <v>#REF!</v>
      </c>
      <c r="P33" s="25" t="e">
        <f>O33+'Cashflow Workings'!P8</f>
        <v>#REF!</v>
      </c>
      <c r="Q33" s="25" t="e">
        <f>P33+'Cashflow Workings'!Q8</f>
        <v>#REF!</v>
      </c>
      <c r="R33" s="25" t="e">
        <f>Q33+'Cashflow Workings'!R8</f>
        <v>#REF!</v>
      </c>
      <c r="S33" s="25" t="e">
        <f>R33+'Cashflow Workings'!S8</f>
        <v>#REF!</v>
      </c>
      <c r="T33" s="25" t="e">
        <f>S33+'Cashflow Workings'!T8</f>
        <v>#REF!</v>
      </c>
      <c r="U33" s="25" t="e">
        <f>T33+'Cashflow Workings'!U8</f>
        <v>#REF!</v>
      </c>
      <c r="V33" s="25" t="e">
        <f>U33+'Cashflow Workings'!V8</f>
        <v>#REF!</v>
      </c>
      <c r="W33" s="25" t="e">
        <f>V33+'Cashflow Workings'!W8</f>
        <v>#REF!</v>
      </c>
      <c r="X33" s="25" t="e">
        <f>W33+'Cashflow Workings'!X8</f>
        <v>#REF!</v>
      </c>
      <c r="Y33" s="25" t="e">
        <f>X33+'Cashflow Workings'!Y8</f>
        <v>#REF!</v>
      </c>
      <c r="Z33" s="25" t="e">
        <f>Y33+'Cashflow Workings'!Z8</f>
        <v>#REF!</v>
      </c>
      <c r="AA33" s="25" t="e">
        <f>Z33+'Cashflow Workings'!AA8</f>
        <v>#REF!</v>
      </c>
      <c r="AB33" s="25" t="e">
        <f>AA33+'Cashflow Workings'!AB8</f>
        <v>#REF!</v>
      </c>
      <c r="AC33" s="25" t="e">
        <f>AB33+'Cashflow Workings'!AC8</f>
        <v>#REF!</v>
      </c>
      <c r="AD33" s="25" t="e">
        <f>AC33+'Cashflow Workings'!AD8</f>
        <v>#REF!</v>
      </c>
      <c r="AE33" s="25" t="e">
        <f>AD33+'Cashflow Workings'!AE8</f>
        <v>#REF!</v>
      </c>
      <c r="AF33" s="25" t="e">
        <f>AE33+'Cashflow Workings'!AF8</f>
        <v>#REF!</v>
      </c>
      <c r="AG33" s="25" t="e">
        <f>AF33+'Cashflow Workings'!AG8</f>
        <v>#REF!</v>
      </c>
      <c r="AH33" s="25" t="e">
        <f>AG33+'Cashflow Workings'!AH8</f>
        <v>#REF!</v>
      </c>
      <c r="AI33" s="25" t="e">
        <f>AH33+'Cashflow Workings'!AI8</f>
        <v>#REF!</v>
      </c>
      <c r="AJ33" s="25" t="e">
        <f>AI33+'Cashflow Workings'!AJ8</f>
        <v>#REF!</v>
      </c>
      <c r="AK33" s="25" t="e">
        <f>AJ33+'Cashflow Workings'!AK8</f>
        <v>#REF!</v>
      </c>
      <c r="AL33" s="25" t="e">
        <f>AK33+'Cashflow Workings'!AL8</f>
        <v>#REF!</v>
      </c>
      <c r="AM33" s="25" t="e">
        <f>AL33+'Cashflow Workings'!AM8</f>
        <v>#REF!</v>
      </c>
      <c r="AN33" s="25" t="e">
        <f>AM33+'Cashflow Workings'!AN8</f>
        <v>#REF!</v>
      </c>
      <c r="AO33" s="25" t="e">
        <f>AN33+'Cashflow Workings'!AO8</f>
        <v>#REF!</v>
      </c>
      <c r="AP33" s="25" t="e">
        <f>AO33+'Cashflow Workings'!AP8</f>
        <v>#REF!</v>
      </c>
      <c r="AQ33" s="25" t="e">
        <f>AP33+'Cashflow Workings'!AQ8</f>
        <v>#REF!</v>
      </c>
      <c r="AR33" s="25" t="e">
        <f>AQ33+'Cashflow Workings'!AR8</f>
        <v>#REF!</v>
      </c>
      <c r="AS33" s="25" t="e">
        <f>AR33+'Cashflow Workings'!AS8</f>
        <v>#REF!</v>
      </c>
      <c r="AT33" s="25" t="e">
        <f>AS33+'Cashflow Workings'!AT8</f>
        <v>#REF!</v>
      </c>
      <c r="AU33" s="25" t="e">
        <f>AT33+'Cashflow Workings'!AU8</f>
        <v>#REF!</v>
      </c>
      <c r="AV33" s="25" t="e">
        <f>AU33+'Cashflow Workings'!AV8</f>
        <v>#REF!</v>
      </c>
      <c r="AW33" s="25" t="e">
        <f>AV33+'Cashflow Workings'!AW8</f>
        <v>#REF!</v>
      </c>
      <c r="AX33" s="25" t="e">
        <f>AW33+'Cashflow Workings'!AX8</f>
        <v>#REF!</v>
      </c>
      <c r="AY33" s="25" t="e">
        <f>AX33+'Cashflow Workings'!AY8</f>
        <v>#REF!</v>
      </c>
      <c r="AZ33" s="25" t="e">
        <f>AY33+'Cashflow Workings'!AZ8</f>
        <v>#REF!</v>
      </c>
      <c r="BA33" s="25" t="e">
        <f>AZ33+'Cashflow Workings'!BA8</f>
        <v>#REF!</v>
      </c>
    </row>
    <row r="34" spans="1:53" ht="12.75" customHeight="1" x14ac:dyDescent="0.25"/>
    <row r="35" spans="1:53" ht="12.75" customHeight="1" x14ac:dyDescent="0.35">
      <c r="B35" s="71" t="s">
        <v>213</v>
      </c>
      <c r="C35" s="25">
        <f>P_L!C80</f>
        <v>0</v>
      </c>
      <c r="D35" s="25">
        <f>C35+P_L!D80</f>
        <v>0</v>
      </c>
      <c r="E35" s="25">
        <f>D35+P_L!E80</f>
        <v>-426103.36856410257</v>
      </c>
      <c r="F35" s="25">
        <f>E35+P_L!F80</f>
        <v>-437937.23956410389</v>
      </c>
      <c r="G35" s="25">
        <f>F35+P_L!G80</f>
        <v>-414061.39600558463</v>
      </c>
      <c r="H35" s="25">
        <f>G35+P_L!H80</f>
        <v>-334874.75180542917</v>
      </c>
      <c r="I35" s="25">
        <f>H35+P_L!I80</f>
        <v>-175912.42474465817</v>
      </c>
      <c r="J35" s="25">
        <f>I35+P_L!J80</f>
        <v>-16514.579882964725</v>
      </c>
      <c r="K35" s="25">
        <f>J35+P_L!K80</f>
        <v>-5917.8694722990967</v>
      </c>
      <c r="L35" s="25">
        <f>K35+P_L!L80</f>
        <v>20135.652130491704</v>
      </c>
      <c r="M35" s="25">
        <f>L35+P_L!M80</f>
        <v>16600.655051970713</v>
      </c>
      <c r="N35" s="25">
        <f>M35+P_L!N80</f>
        <v>66234.699891360913</v>
      </c>
      <c r="O35" s="25">
        <f>N35+P_L!O80</f>
        <v>-86565.248789260717</v>
      </c>
      <c r="P35" s="25">
        <f>O35+P_L!P80</f>
        <v>-118785.57797382656</v>
      </c>
      <c r="Q35" s="25">
        <f>P35+P_L!Q80</f>
        <v>-90487.545700199276</v>
      </c>
      <c r="R35" s="25">
        <f>Q35+P_L!R80</f>
        <v>-32170.49556714925</v>
      </c>
      <c r="S35" s="25">
        <f>R35+P_L!S80</f>
        <v>60748.385359608626</v>
      </c>
      <c r="T35" s="25">
        <f>S35+P_L!T80</f>
        <v>214455.13964232121</v>
      </c>
      <c r="U35" s="25">
        <f>T35+P_L!U80</f>
        <v>462674.5345670447</v>
      </c>
      <c r="V35" s="25">
        <f>U35+P_L!V80</f>
        <v>711362.29524043389</v>
      </c>
      <c r="W35" s="25">
        <f>V35+P_L!W80</f>
        <v>789078.03568747465</v>
      </c>
      <c r="X35" s="25">
        <f>W35+P_L!X80</f>
        <v>884338.83995015861</v>
      </c>
      <c r="Y35" s="25">
        <f>X35+P_L!Y80</f>
        <v>945934.71518709906</v>
      </c>
      <c r="Z35" s="25">
        <f>Y35+P_L!Z80</f>
        <v>1062611.4057740921</v>
      </c>
      <c r="AA35" s="25">
        <f>Z35+P_L!AA80</f>
        <v>937389.44740562083</v>
      </c>
      <c r="AB35" s="25">
        <f>AA35+P_L!AB80</f>
        <v>983362.92019730422</v>
      </c>
      <c r="AC35" s="25">
        <f>AB35+P_L!AC80</f>
        <v>1081038.0567892909</v>
      </c>
      <c r="AD35" s="25">
        <f>AC35+P_L!AD80</f>
        <v>1222489.4684505977</v>
      </c>
      <c r="AE35" s="25">
        <f>AD35+P_L!AE80</f>
        <v>1403425.1581397718</v>
      </c>
      <c r="AF35" s="25">
        <f>AE35+P_L!AF80</f>
        <v>1625219.5325563487</v>
      </c>
      <c r="AG35" s="25">
        <f>AF35+P_L!AG80</f>
        <v>1943173.4381215381</v>
      </c>
      <c r="AH35" s="25">
        <f>AG35+P_L!AH80</f>
        <v>2261129.8139661965</v>
      </c>
      <c r="AI35" s="25">
        <f>AH35+P_L!AI80</f>
        <v>2401035.6949189994</v>
      </c>
      <c r="AJ35" s="25">
        <f>AI35+P_L!AJ80</f>
        <v>2559974.8399948115</v>
      </c>
      <c r="AK35" s="25">
        <f>AJ35+P_L!AK80</f>
        <v>2680854.5828832486</v>
      </c>
      <c r="AL35" s="25">
        <f>AK35+P_L!AL80</f>
        <v>2861807.2859374341</v>
      </c>
      <c r="AM35" s="25">
        <f>AL35+P_L!AM80</f>
        <v>2792382.8546629385</v>
      </c>
      <c r="AN35" s="25">
        <f>AM35+P_L!AN80</f>
        <v>2875207.660706907</v>
      </c>
      <c r="AO35" s="25">
        <f>AN35+P_L!AO80</f>
        <v>3034158.1648473651</v>
      </c>
      <c r="AP35" s="25">
        <f>AO35+P_L!AP80</f>
        <v>3235812.0184827042</v>
      </c>
      <c r="AQ35" s="25">
        <f>AP35+P_L!AQ80</f>
        <v>3459090.705121343</v>
      </c>
      <c r="AR35" s="25">
        <f>AQ35+P_L!AR80</f>
        <v>3721862.6098715602</v>
      </c>
      <c r="AS35" s="25">
        <f>AR35+P_L!AS80</f>
        <v>4082158.5869314959</v>
      </c>
      <c r="AT35" s="25">
        <f>AS35+P_L!AT80</f>
        <v>4442456.5830793222</v>
      </c>
      <c r="AU35" s="25">
        <f>AT35+P_L!AU80</f>
        <v>4627838.415663573</v>
      </c>
      <c r="AV35" s="25">
        <f>AU35+P_L!AV80</f>
        <v>4833768.0685936417</v>
      </c>
      <c r="AW35" s="25">
        <f>AV35+P_L!AW80</f>
        <v>4994258.1228304319</v>
      </c>
      <c r="AX35" s="25">
        <f>AW35+P_L!AX80</f>
        <v>5217550.7153771641</v>
      </c>
      <c r="AY35" s="25">
        <f>AX35+P_L!AY80</f>
        <v>5174085.7587703401</v>
      </c>
      <c r="AZ35" s="25">
        <f>AY35+P_L!AZ80</f>
        <v>5293789.6315708524</v>
      </c>
      <c r="BA35" s="25">
        <f>AZ35+P_L!BA80</f>
        <v>5495078.8013552446</v>
      </c>
    </row>
    <row r="36" spans="1:53" ht="12.75" customHeight="1" x14ac:dyDescent="0.25"/>
    <row r="37" spans="1:53" ht="14.25" customHeight="1" x14ac:dyDescent="0.35">
      <c r="A37" s="26" t="s">
        <v>214</v>
      </c>
      <c r="C37" s="47">
        <f t="shared" ref="C37:AH37" si="12">SUM(C33:C35)</f>
        <v>0</v>
      </c>
      <c r="D37" s="47">
        <f t="shared" si="12"/>
        <v>0</v>
      </c>
      <c r="E37" s="47" t="e">
        <f t="shared" si="12"/>
        <v>#REF!</v>
      </c>
      <c r="F37" s="47" t="e">
        <f t="shared" si="12"/>
        <v>#REF!</v>
      </c>
      <c r="G37" s="47" t="e">
        <f t="shared" si="12"/>
        <v>#REF!</v>
      </c>
      <c r="H37" s="47" t="e">
        <f t="shared" si="12"/>
        <v>#REF!</v>
      </c>
      <c r="I37" s="47" t="e">
        <f t="shared" si="12"/>
        <v>#REF!</v>
      </c>
      <c r="J37" s="47" t="e">
        <f t="shared" si="12"/>
        <v>#REF!</v>
      </c>
      <c r="K37" s="47" t="e">
        <f t="shared" si="12"/>
        <v>#REF!</v>
      </c>
      <c r="L37" s="47" t="e">
        <f t="shared" si="12"/>
        <v>#REF!</v>
      </c>
      <c r="M37" s="47" t="e">
        <f t="shared" si="12"/>
        <v>#REF!</v>
      </c>
      <c r="N37" s="47" t="e">
        <f t="shared" si="12"/>
        <v>#REF!</v>
      </c>
      <c r="O37" s="47" t="e">
        <f t="shared" si="12"/>
        <v>#REF!</v>
      </c>
      <c r="P37" s="47" t="e">
        <f t="shared" si="12"/>
        <v>#REF!</v>
      </c>
      <c r="Q37" s="47" t="e">
        <f t="shared" si="12"/>
        <v>#REF!</v>
      </c>
      <c r="R37" s="47" t="e">
        <f t="shared" si="12"/>
        <v>#REF!</v>
      </c>
      <c r="S37" s="47" t="e">
        <f t="shared" si="12"/>
        <v>#REF!</v>
      </c>
      <c r="T37" s="47" t="e">
        <f t="shared" si="12"/>
        <v>#REF!</v>
      </c>
      <c r="U37" s="47" t="e">
        <f t="shared" si="12"/>
        <v>#REF!</v>
      </c>
      <c r="V37" s="47" t="e">
        <f t="shared" si="12"/>
        <v>#REF!</v>
      </c>
      <c r="W37" s="47" t="e">
        <f t="shared" si="12"/>
        <v>#REF!</v>
      </c>
      <c r="X37" s="47" t="e">
        <f t="shared" si="12"/>
        <v>#REF!</v>
      </c>
      <c r="Y37" s="47" t="e">
        <f t="shared" si="12"/>
        <v>#REF!</v>
      </c>
      <c r="Z37" s="47" t="e">
        <f t="shared" si="12"/>
        <v>#REF!</v>
      </c>
      <c r="AA37" s="47" t="e">
        <f t="shared" si="12"/>
        <v>#REF!</v>
      </c>
      <c r="AB37" s="47" t="e">
        <f t="shared" si="12"/>
        <v>#REF!</v>
      </c>
      <c r="AC37" s="47" t="e">
        <f t="shared" si="12"/>
        <v>#REF!</v>
      </c>
      <c r="AD37" s="47" t="e">
        <f t="shared" si="12"/>
        <v>#REF!</v>
      </c>
      <c r="AE37" s="47" t="e">
        <f t="shared" si="12"/>
        <v>#REF!</v>
      </c>
      <c r="AF37" s="47" t="e">
        <f t="shared" si="12"/>
        <v>#REF!</v>
      </c>
      <c r="AG37" s="47" t="e">
        <f t="shared" si="12"/>
        <v>#REF!</v>
      </c>
      <c r="AH37" s="47" t="e">
        <f t="shared" si="12"/>
        <v>#REF!</v>
      </c>
      <c r="AI37" s="47" t="e">
        <f t="shared" ref="AI37:BA37" si="13">SUM(AI33:AI35)</f>
        <v>#REF!</v>
      </c>
      <c r="AJ37" s="47" t="e">
        <f t="shared" si="13"/>
        <v>#REF!</v>
      </c>
      <c r="AK37" s="47" t="e">
        <f t="shared" si="13"/>
        <v>#REF!</v>
      </c>
      <c r="AL37" s="47" t="e">
        <f t="shared" si="13"/>
        <v>#REF!</v>
      </c>
      <c r="AM37" s="47" t="e">
        <f t="shared" si="13"/>
        <v>#REF!</v>
      </c>
      <c r="AN37" s="47" t="e">
        <f t="shared" si="13"/>
        <v>#REF!</v>
      </c>
      <c r="AO37" s="47" t="e">
        <f t="shared" si="13"/>
        <v>#REF!</v>
      </c>
      <c r="AP37" s="47" t="e">
        <f t="shared" si="13"/>
        <v>#REF!</v>
      </c>
      <c r="AQ37" s="47" t="e">
        <f t="shared" si="13"/>
        <v>#REF!</v>
      </c>
      <c r="AR37" s="47" t="e">
        <f t="shared" si="13"/>
        <v>#REF!</v>
      </c>
      <c r="AS37" s="47" t="e">
        <f t="shared" si="13"/>
        <v>#REF!</v>
      </c>
      <c r="AT37" s="47" t="e">
        <f t="shared" si="13"/>
        <v>#REF!</v>
      </c>
      <c r="AU37" s="47" t="e">
        <f t="shared" si="13"/>
        <v>#REF!</v>
      </c>
      <c r="AV37" s="47" t="e">
        <f t="shared" si="13"/>
        <v>#REF!</v>
      </c>
      <c r="AW37" s="47" t="e">
        <f t="shared" si="13"/>
        <v>#REF!</v>
      </c>
      <c r="AX37" s="47" t="e">
        <f t="shared" si="13"/>
        <v>#REF!</v>
      </c>
      <c r="AY37" s="47" t="e">
        <f t="shared" si="13"/>
        <v>#REF!</v>
      </c>
      <c r="AZ37" s="47" t="e">
        <f t="shared" si="13"/>
        <v>#REF!</v>
      </c>
      <c r="BA37" s="47" t="e">
        <f t="shared" si="13"/>
        <v>#REF!</v>
      </c>
    </row>
    <row r="38" spans="1:53" ht="12.75" customHeight="1" x14ac:dyDescent="0.25"/>
    <row r="39" spans="1:53" ht="12.75" customHeight="1" x14ac:dyDescent="0.25"/>
    <row r="40" spans="1:53" ht="12.75" customHeight="1" x14ac:dyDescent="0.25"/>
    <row r="41" spans="1:53" ht="12.75" customHeight="1" x14ac:dyDescent="0.25"/>
    <row r="42" spans="1:53" ht="12.75" customHeight="1" x14ac:dyDescent="0.25"/>
    <row r="43" spans="1:53" ht="12.75" customHeight="1" x14ac:dyDescent="0.25"/>
    <row r="44" spans="1:53" ht="12.75" customHeight="1" x14ac:dyDescent="0.25"/>
    <row r="45" spans="1:53" ht="12.75" customHeight="1" x14ac:dyDescent="0.25"/>
    <row r="46" spans="1:53" ht="12.75" customHeight="1" x14ac:dyDescent="0.25"/>
    <row r="47" spans="1:53" ht="12.75" customHeight="1" x14ac:dyDescent="0.25"/>
    <row r="48" spans="1:5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scale="65" firstPageNumber="0" orientation="landscape" horizontalDpi="300" verticalDpi="3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99"/>
  <sheetViews>
    <sheetView zoomScaleSheetLayoutView="75" workbookViewId="0">
      <pane xSplit="2" ySplit="6" topLeftCell="C14" activePane="bottomRight" state="frozen"/>
      <selection pane="topRight" activeCell="C1" sqref="C1"/>
      <selection pane="bottomLeft" activeCell="A14" sqref="A14"/>
      <selection pane="bottomRight" activeCell="A2" sqref="A2"/>
    </sheetView>
  </sheetViews>
  <sheetFormatPr defaultColWidth="9.08984375" defaultRowHeight="12.5" x14ac:dyDescent="0.25"/>
  <cols>
    <col min="1" max="1" width="2.453125" style="1" customWidth="1"/>
    <col min="2" max="2" width="28.81640625" style="1" customWidth="1"/>
    <col min="3" max="32" width="10.7265625" style="25" customWidth="1"/>
    <col min="33" max="53" width="11.54296875" style="25" customWidth="1"/>
    <col min="54" max="16384" width="9.08984375" style="1"/>
  </cols>
  <sheetData>
    <row r="1" spans="1:53" ht="15.5" x14ac:dyDescent="0.35">
      <c r="A1" s="26" t="s">
        <v>240</v>
      </c>
      <c r="B1" s="27"/>
    </row>
    <row r="2" spans="1:53" ht="15.5" x14ac:dyDescent="0.35">
      <c r="A2" s="26" t="s">
        <v>197</v>
      </c>
      <c r="B2" s="27"/>
    </row>
    <row r="3" spans="1:53" ht="15.5" x14ac:dyDescent="0.35">
      <c r="A3" s="26" t="s">
        <v>81</v>
      </c>
      <c r="B3" s="27"/>
      <c r="E3" s="60"/>
    </row>
    <row r="5" spans="1:53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</row>
    <row r="6" spans="1:53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</row>
    <row r="7" spans="1:53" ht="15.5" x14ac:dyDescent="0.35">
      <c r="A7" s="26" t="s">
        <v>199</v>
      </c>
    </row>
    <row r="8" spans="1:53" x14ac:dyDescent="0.25">
      <c r="B8" s="34" t="s">
        <v>200</v>
      </c>
      <c r="D8" s="25">
        <f t="shared" ref="D8:AI8" si="0">C12</f>
        <v>0</v>
      </c>
      <c r="E8" s="25">
        <f t="shared" si="0"/>
        <v>0</v>
      </c>
      <c r="F8" s="25">
        <f t="shared" si="0"/>
        <v>0</v>
      </c>
      <c r="G8" s="25">
        <f t="shared" si="0"/>
        <v>19666.666666666668</v>
      </c>
      <c r="H8" s="25">
        <f t="shared" si="0"/>
        <v>19338.888888888891</v>
      </c>
      <c r="I8" s="25">
        <f t="shared" si="0"/>
        <v>19016.574074074077</v>
      </c>
      <c r="J8" s="25">
        <f t="shared" si="0"/>
        <v>18699.631172839509</v>
      </c>
      <c r="K8" s="25">
        <f t="shared" si="0"/>
        <v>18387.970653292185</v>
      </c>
      <c r="L8" s="25">
        <f t="shared" si="0"/>
        <v>18081.504475737314</v>
      </c>
      <c r="M8" s="25">
        <f t="shared" si="0"/>
        <v>17780.14606780836</v>
      </c>
      <c r="N8" s="25">
        <f t="shared" si="0"/>
        <v>17483.810300011555</v>
      </c>
      <c r="O8" s="25">
        <f t="shared" si="0"/>
        <v>17192.413461678028</v>
      </c>
      <c r="P8" s="25">
        <f t="shared" si="0"/>
        <v>16905.87323731673</v>
      </c>
      <c r="Q8" s="25">
        <f t="shared" si="0"/>
        <v>16624.10868336145</v>
      </c>
      <c r="R8" s="25">
        <f t="shared" si="0"/>
        <v>16347.040205305426</v>
      </c>
      <c r="S8" s="25">
        <f t="shared" si="0"/>
        <v>16074.589535217003</v>
      </c>
      <c r="T8" s="25">
        <f t="shared" si="0"/>
        <v>15806.679709630052</v>
      </c>
      <c r="U8" s="25">
        <f t="shared" si="0"/>
        <v>15543.235047802886</v>
      </c>
      <c r="V8" s="25">
        <f t="shared" si="0"/>
        <v>15284.181130339504</v>
      </c>
      <c r="W8" s="25">
        <f t="shared" si="0"/>
        <v>15029.444778167179</v>
      </c>
      <c r="X8" s="25">
        <f t="shared" si="0"/>
        <v>14778.954031864392</v>
      </c>
      <c r="Y8" s="25">
        <f t="shared" si="0"/>
        <v>14532.638131333319</v>
      </c>
      <c r="Z8" s="25">
        <f t="shared" si="0"/>
        <v>14290.427495811096</v>
      </c>
      <c r="AA8" s="25">
        <f t="shared" si="0"/>
        <v>14052.253704214245</v>
      </c>
      <c r="AB8" s="25">
        <f t="shared" si="0"/>
        <v>13818.049475810674</v>
      </c>
      <c r="AC8" s="25">
        <f t="shared" si="0"/>
        <v>13587.748651213829</v>
      </c>
      <c r="AD8" s="25">
        <f t="shared" si="0"/>
        <v>13361.286173693599</v>
      </c>
      <c r="AE8" s="25">
        <f t="shared" si="0"/>
        <v>13138.598070798706</v>
      </c>
      <c r="AF8" s="25">
        <f t="shared" si="0"/>
        <v>12919.621436285393</v>
      </c>
      <c r="AG8" s="25">
        <f t="shared" si="0"/>
        <v>12704.294412347304</v>
      </c>
      <c r="AH8" s="25">
        <f t="shared" si="0"/>
        <v>12492.556172141516</v>
      </c>
      <c r="AI8" s="25">
        <f t="shared" si="0"/>
        <v>12284.346902605825</v>
      </c>
      <c r="AJ8" s="25">
        <f t="shared" ref="AJ8:BA8" si="1">AI12</f>
        <v>12079.607787562394</v>
      </c>
      <c r="AK8" s="25">
        <f t="shared" si="1"/>
        <v>11878.280991103022</v>
      </c>
      <c r="AL8" s="25">
        <f t="shared" si="1"/>
        <v>11680.309641251304</v>
      </c>
      <c r="AM8" s="25">
        <f t="shared" si="1"/>
        <v>11485.637813897116</v>
      </c>
      <c r="AN8" s="25">
        <f t="shared" si="1"/>
        <v>11294.21051699883</v>
      </c>
      <c r="AO8" s="25">
        <f t="shared" si="1"/>
        <v>11105.97367504885</v>
      </c>
      <c r="AP8" s="25">
        <f t="shared" si="1"/>
        <v>10920.874113798036</v>
      </c>
      <c r="AQ8" s="25">
        <f t="shared" si="1"/>
        <v>10738.859545234736</v>
      </c>
      <c r="AR8" s="25">
        <f t="shared" si="1"/>
        <v>10559.878552814158</v>
      </c>
      <c r="AS8" s="25">
        <f t="shared" si="1"/>
        <v>10383.880576933921</v>
      </c>
      <c r="AT8" s="25">
        <f t="shared" si="1"/>
        <v>10210.815900651689</v>
      </c>
      <c r="AU8" s="25">
        <f t="shared" si="1"/>
        <v>10040.635635640827</v>
      </c>
      <c r="AV8" s="25">
        <f t="shared" si="1"/>
        <v>9873.2917083801458</v>
      </c>
      <c r="AW8" s="25">
        <f t="shared" si="1"/>
        <v>9708.7368465738109</v>
      </c>
      <c r="AX8" s="25">
        <f t="shared" si="1"/>
        <v>9546.9245657975807</v>
      </c>
      <c r="AY8" s="25">
        <f t="shared" si="1"/>
        <v>9387.8091563676207</v>
      </c>
      <c r="AZ8" s="25">
        <f t="shared" si="1"/>
        <v>9231.3456704281598</v>
      </c>
      <c r="BA8" s="25">
        <f t="shared" si="1"/>
        <v>9077.4899092543565</v>
      </c>
    </row>
    <row r="9" spans="1:53" x14ac:dyDescent="0.25">
      <c r="B9" s="34" t="s">
        <v>201</v>
      </c>
      <c r="F9" s="25">
        <v>20000</v>
      </c>
    </row>
    <row r="10" spans="1:53" x14ac:dyDescent="0.25">
      <c r="B10" s="34" t="s">
        <v>202</v>
      </c>
      <c r="C10" s="25">
        <f t="shared" ref="C10:AH10" si="2">-(C8+C9)*0.2/12</f>
        <v>0</v>
      </c>
      <c r="D10" s="25">
        <f t="shared" si="2"/>
        <v>0</v>
      </c>
      <c r="E10" s="25">
        <f t="shared" si="2"/>
        <v>0</v>
      </c>
      <c r="F10" s="25">
        <f t="shared" si="2"/>
        <v>-333.33333333333331</v>
      </c>
      <c r="G10" s="25">
        <f t="shared" si="2"/>
        <v>-327.77777777777783</v>
      </c>
      <c r="H10" s="25">
        <f t="shared" si="2"/>
        <v>-322.31481481481484</v>
      </c>
      <c r="I10" s="25">
        <f t="shared" si="2"/>
        <v>-316.94290123456796</v>
      </c>
      <c r="J10" s="25">
        <f t="shared" si="2"/>
        <v>-311.66051954732512</v>
      </c>
      <c r="K10" s="25">
        <f t="shared" si="2"/>
        <v>-306.46617755486977</v>
      </c>
      <c r="L10" s="25">
        <f t="shared" si="2"/>
        <v>-301.35840792895527</v>
      </c>
      <c r="M10" s="25">
        <f t="shared" si="2"/>
        <v>-296.33576779680601</v>
      </c>
      <c r="N10" s="25">
        <f t="shared" si="2"/>
        <v>-291.39683833352592</v>
      </c>
      <c r="O10" s="25">
        <f t="shared" si="2"/>
        <v>-286.54022436130049</v>
      </c>
      <c r="P10" s="25">
        <f t="shared" si="2"/>
        <v>-281.76455395527881</v>
      </c>
      <c r="Q10" s="25">
        <f t="shared" si="2"/>
        <v>-277.06847805602416</v>
      </c>
      <c r="R10" s="25">
        <f t="shared" si="2"/>
        <v>-272.45067008842381</v>
      </c>
      <c r="S10" s="25">
        <f t="shared" si="2"/>
        <v>-267.90982558695003</v>
      </c>
      <c r="T10" s="25">
        <f t="shared" si="2"/>
        <v>-263.44466182716752</v>
      </c>
      <c r="U10" s="25">
        <f t="shared" si="2"/>
        <v>-259.05391746338142</v>
      </c>
      <c r="V10" s="25">
        <f t="shared" si="2"/>
        <v>-254.73635217232507</v>
      </c>
      <c r="W10" s="25">
        <f t="shared" si="2"/>
        <v>-250.49074630278633</v>
      </c>
      <c r="X10" s="25">
        <f t="shared" si="2"/>
        <v>-246.31590053107323</v>
      </c>
      <c r="Y10" s="25">
        <f t="shared" si="2"/>
        <v>-242.21063552222199</v>
      </c>
      <c r="Z10" s="25">
        <f t="shared" si="2"/>
        <v>-238.17379159685163</v>
      </c>
      <c r="AA10" s="25">
        <f t="shared" si="2"/>
        <v>-234.20422840357074</v>
      </c>
      <c r="AB10" s="25">
        <f t="shared" si="2"/>
        <v>-230.30082459684459</v>
      </c>
      <c r="AC10" s="25">
        <f t="shared" si="2"/>
        <v>-226.46247752023052</v>
      </c>
      <c r="AD10" s="25">
        <f t="shared" si="2"/>
        <v>-222.68810289489332</v>
      </c>
      <c r="AE10" s="25">
        <f t="shared" si="2"/>
        <v>-218.97663451331178</v>
      </c>
      <c r="AF10" s="25">
        <f t="shared" si="2"/>
        <v>-215.32702393808992</v>
      </c>
      <c r="AG10" s="25">
        <f t="shared" si="2"/>
        <v>-211.73824020578843</v>
      </c>
      <c r="AH10" s="25">
        <f t="shared" si="2"/>
        <v>-208.20926953569196</v>
      </c>
      <c r="AI10" s="25">
        <f t="shared" ref="AI10:BA10" si="3">-(AI8+AI9)*0.2/12</f>
        <v>-204.73911504343042</v>
      </c>
      <c r="AJ10" s="25">
        <f t="shared" si="3"/>
        <v>-201.32679645937324</v>
      </c>
      <c r="AK10" s="25">
        <f t="shared" si="3"/>
        <v>-197.97134985171704</v>
      </c>
      <c r="AL10" s="25">
        <f t="shared" si="3"/>
        <v>-194.67182735418839</v>
      </c>
      <c r="AM10" s="25">
        <f t="shared" si="3"/>
        <v>-191.42729689828528</v>
      </c>
      <c r="AN10" s="25">
        <f t="shared" si="3"/>
        <v>-188.23684194998052</v>
      </c>
      <c r="AO10" s="25">
        <f t="shared" si="3"/>
        <v>-185.09956125081419</v>
      </c>
      <c r="AP10" s="25">
        <f t="shared" si="3"/>
        <v>-182.0145685633006</v>
      </c>
      <c r="AQ10" s="25">
        <f t="shared" si="3"/>
        <v>-178.98099242057893</v>
      </c>
      <c r="AR10" s="25">
        <f t="shared" si="3"/>
        <v>-175.997975880236</v>
      </c>
      <c r="AS10" s="25">
        <f t="shared" si="3"/>
        <v>-173.06467628223206</v>
      </c>
      <c r="AT10" s="25">
        <f t="shared" si="3"/>
        <v>-170.18026501086149</v>
      </c>
      <c r="AU10" s="25">
        <f t="shared" si="3"/>
        <v>-167.34392726068046</v>
      </c>
      <c r="AV10" s="25">
        <f t="shared" si="3"/>
        <v>-164.55486180633577</v>
      </c>
      <c r="AW10" s="25">
        <f t="shared" si="3"/>
        <v>-161.81228077623018</v>
      </c>
      <c r="AX10" s="25">
        <f t="shared" si="3"/>
        <v>-159.11540942995967</v>
      </c>
      <c r="AY10" s="25">
        <f t="shared" si="3"/>
        <v>-156.46348593946036</v>
      </c>
      <c r="AZ10" s="25">
        <f t="shared" si="3"/>
        <v>-153.85576117380268</v>
      </c>
      <c r="BA10" s="25">
        <f t="shared" si="3"/>
        <v>-151.29149848757262</v>
      </c>
    </row>
    <row r="11" spans="1:53" x14ac:dyDescent="0.25">
      <c r="B11" s="34"/>
    </row>
    <row r="12" spans="1:53" s="2" customFormat="1" ht="13" x14ac:dyDescent="0.3">
      <c r="C12" s="35">
        <f t="shared" ref="C12:AH12" si="4">SUM(C8:C11)</f>
        <v>0</v>
      </c>
      <c r="D12" s="35">
        <f t="shared" si="4"/>
        <v>0</v>
      </c>
      <c r="E12" s="35">
        <f t="shared" si="4"/>
        <v>0</v>
      </c>
      <c r="F12" s="35">
        <f t="shared" si="4"/>
        <v>19666.666666666668</v>
      </c>
      <c r="G12" s="35">
        <f t="shared" si="4"/>
        <v>19338.888888888891</v>
      </c>
      <c r="H12" s="35">
        <f t="shared" si="4"/>
        <v>19016.574074074077</v>
      </c>
      <c r="I12" s="35">
        <f t="shared" si="4"/>
        <v>18699.631172839509</v>
      </c>
      <c r="J12" s="35">
        <f t="shared" si="4"/>
        <v>18387.970653292185</v>
      </c>
      <c r="K12" s="35">
        <f t="shared" si="4"/>
        <v>18081.504475737314</v>
      </c>
      <c r="L12" s="35">
        <f t="shared" si="4"/>
        <v>17780.14606780836</v>
      </c>
      <c r="M12" s="35">
        <f t="shared" si="4"/>
        <v>17483.810300011555</v>
      </c>
      <c r="N12" s="35">
        <f t="shared" si="4"/>
        <v>17192.413461678028</v>
      </c>
      <c r="O12" s="35">
        <f t="shared" si="4"/>
        <v>16905.87323731673</v>
      </c>
      <c r="P12" s="35">
        <f t="shared" si="4"/>
        <v>16624.10868336145</v>
      </c>
      <c r="Q12" s="35">
        <f t="shared" si="4"/>
        <v>16347.040205305426</v>
      </c>
      <c r="R12" s="35">
        <f t="shared" si="4"/>
        <v>16074.589535217003</v>
      </c>
      <c r="S12" s="35">
        <f t="shared" si="4"/>
        <v>15806.679709630052</v>
      </c>
      <c r="T12" s="35">
        <f t="shared" si="4"/>
        <v>15543.235047802886</v>
      </c>
      <c r="U12" s="35">
        <f t="shared" si="4"/>
        <v>15284.181130339504</v>
      </c>
      <c r="V12" s="35">
        <f t="shared" si="4"/>
        <v>15029.444778167179</v>
      </c>
      <c r="W12" s="35">
        <f t="shared" si="4"/>
        <v>14778.954031864392</v>
      </c>
      <c r="X12" s="35">
        <f t="shared" si="4"/>
        <v>14532.638131333319</v>
      </c>
      <c r="Y12" s="35">
        <f t="shared" si="4"/>
        <v>14290.427495811096</v>
      </c>
      <c r="Z12" s="35">
        <f t="shared" si="4"/>
        <v>14052.253704214245</v>
      </c>
      <c r="AA12" s="35">
        <f t="shared" si="4"/>
        <v>13818.049475810674</v>
      </c>
      <c r="AB12" s="35">
        <f t="shared" si="4"/>
        <v>13587.748651213829</v>
      </c>
      <c r="AC12" s="35">
        <f t="shared" si="4"/>
        <v>13361.286173693599</v>
      </c>
      <c r="AD12" s="35">
        <f t="shared" si="4"/>
        <v>13138.598070798706</v>
      </c>
      <c r="AE12" s="35">
        <f t="shared" si="4"/>
        <v>12919.621436285393</v>
      </c>
      <c r="AF12" s="35">
        <f t="shared" si="4"/>
        <v>12704.294412347304</v>
      </c>
      <c r="AG12" s="35">
        <f t="shared" si="4"/>
        <v>12492.556172141516</v>
      </c>
      <c r="AH12" s="35">
        <f t="shared" si="4"/>
        <v>12284.346902605825</v>
      </c>
      <c r="AI12" s="35">
        <f t="shared" ref="AI12:BA12" si="5">SUM(AI8:AI11)</f>
        <v>12079.607787562394</v>
      </c>
      <c r="AJ12" s="35">
        <f t="shared" si="5"/>
        <v>11878.280991103022</v>
      </c>
      <c r="AK12" s="35">
        <f t="shared" si="5"/>
        <v>11680.309641251304</v>
      </c>
      <c r="AL12" s="35">
        <f t="shared" si="5"/>
        <v>11485.637813897116</v>
      </c>
      <c r="AM12" s="35">
        <f t="shared" si="5"/>
        <v>11294.21051699883</v>
      </c>
      <c r="AN12" s="35">
        <f t="shared" si="5"/>
        <v>11105.97367504885</v>
      </c>
      <c r="AO12" s="35">
        <f t="shared" si="5"/>
        <v>10920.874113798036</v>
      </c>
      <c r="AP12" s="35">
        <f t="shared" si="5"/>
        <v>10738.859545234736</v>
      </c>
      <c r="AQ12" s="35">
        <f t="shared" si="5"/>
        <v>10559.878552814158</v>
      </c>
      <c r="AR12" s="35">
        <f t="shared" si="5"/>
        <v>10383.880576933921</v>
      </c>
      <c r="AS12" s="35">
        <f t="shared" si="5"/>
        <v>10210.815900651689</v>
      </c>
      <c r="AT12" s="35">
        <f t="shared" si="5"/>
        <v>10040.635635640827</v>
      </c>
      <c r="AU12" s="35">
        <f t="shared" si="5"/>
        <v>9873.2917083801458</v>
      </c>
      <c r="AV12" s="35">
        <f t="shared" si="5"/>
        <v>9708.7368465738109</v>
      </c>
      <c r="AW12" s="35">
        <f t="shared" si="5"/>
        <v>9546.9245657975807</v>
      </c>
      <c r="AX12" s="35">
        <f t="shared" si="5"/>
        <v>9387.8091563676207</v>
      </c>
      <c r="AY12" s="35">
        <f t="shared" si="5"/>
        <v>9231.3456704281598</v>
      </c>
      <c r="AZ12" s="35">
        <f t="shared" si="5"/>
        <v>9077.4899092543565</v>
      </c>
      <c r="BA12" s="35">
        <f t="shared" si="5"/>
        <v>8926.1984107667831</v>
      </c>
    </row>
    <row r="14" spans="1:53" ht="15.5" x14ac:dyDescent="0.35">
      <c r="A14" s="26" t="s">
        <v>203</v>
      </c>
    </row>
    <row r="15" spans="1:53" ht="15" customHeight="1" x14ac:dyDescent="0.35">
      <c r="A15" s="26"/>
      <c r="B15" s="1" t="s">
        <v>204</v>
      </c>
      <c r="C15" s="25">
        <f>'Cashflow Workings'!C35</f>
        <v>0</v>
      </c>
      <c r="D15" s="25">
        <f>C15+'Cashflow Workings'!D35</f>
        <v>0</v>
      </c>
      <c r="E15" s="25">
        <f>D15+'Cashflow Workings'!E35</f>
        <v>300000</v>
      </c>
      <c r="F15" s="25">
        <f>E15</f>
        <v>300000</v>
      </c>
      <c r="G15" s="25">
        <f>F15+'Cashflow Workings'!G35</f>
        <v>300000</v>
      </c>
      <c r="H15" s="25">
        <f>G15+'Cashflow Workings'!H35</f>
        <v>300000</v>
      </c>
      <c r="I15" s="25">
        <f>H15+'Cashflow Workings'!I35</f>
        <v>300000</v>
      </c>
      <c r="J15" s="25">
        <f>I15+'Cashflow Workings'!J35</f>
        <v>300000</v>
      </c>
      <c r="K15" s="25">
        <f>J15+'Cashflow Workings'!K35</f>
        <v>300000</v>
      </c>
      <c r="L15" s="25">
        <f>K15+'Cashflow Workings'!L35</f>
        <v>300000</v>
      </c>
      <c r="M15" s="25">
        <f>L15+'Cashflow Workings'!M35</f>
        <v>300000</v>
      </c>
      <c r="N15" s="25">
        <f>M15+'Cashflow Workings'!N35</f>
        <v>300000</v>
      </c>
      <c r="O15" s="25">
        <f>N15+'Cashflow Workings'!O35</f>
        <v>300000</v>
      </c>
      <c r="P15" s="25">
        <f>O15+'Cashflow Workings'!P35</f>
        <v>300000</v>
      </c>
      <c r="Q15" s="25">
        <f>P15+'Cashflow Workings'!Q35</f>
        <v>300000</v>
      </c>
      <c r="R15" s="25">
        <f>Q15+'Cashflow Workings'!R35</f>
        <v>300000</v>
      </c>
      <c r="S15" s="25">
        <f>R15+'Cashflow Workings'!S35</f>
        <v>300000</v>
      </c>
      <c r="T15" s="25">
        <f>S15+'Cashflow Workings'!T35</f>
        <v>300000</v>
      </c>
      <c r="U15" s="25">
        <f>T15+'Cashflow Workings'!U35</f>
        <v>300000</v>
      </c>
      <c r="V15" s="25">
        <f>U15+'Cashflow Workings'!V35</f>
        <v>300000</v>
      </c>
      <c r="W15" s="25">
        <f>V15+'Cashflow Workings'!W35</f>
        <v>300000</v>
      </c>
      <c r="X15" s="25">
        <f>W15+'Cashflow Workings'!X35</f>
        <v>300000</v>
      </c>
      <c r="Y15" s="25">
        <f>X15+'Cashflow Workings'!Y35</f>
        <v>300000</v>
      </c>
      <c r="Z15" s="25">
        <f>Y15+'Cashflow Workings'!Z35</f>
        <v>300000</v>
      </c>
      <c r="AA15" s="25">
        <f>Z15+'Cashflow Workings'!AA35</f>
        <v>300000</v>
      </c>
      <c r="AB15" s="25">
        <f>AA15+'Cashflow Workings'!AB35</f>
        <v>300000</v>
      </c>
      <c r="AC15" s="25">
        <f>AB15+'Cashflow Workings'!AC35</f>
        <v>300000</v>
      </c>
      <c r="AD15" s="25">
        <f>AC15+'Cashflow Workings'!AD35</f>
        <v>300000</v>
      </c>
      <c r="AE15" s="25">
        <f>AD15+'Cashflow Workings'!AE35</f>
        <v>300000</v>
      </c>
      <c r="AF15" s="25">
        <f>AE15+'Cashflow Workings'!AF35</f>
        <v>300000</v>
      </c>
      <c r="AG15" s="25">
        <f>AF15+'Cashflow Workings'!AG35</f>
        <v>300000</v>
      </c>
      <c r="AH15" s="25">
        <f>AG15+'Cashflow Workings'!AH35</f>
        <v>300000</v>
      </c>
      <c r="AI15" s="25">
        <f>AH15+'Cashflow Workings'!AI35</f>
        <v>300000</v>
      </c>
      <c r="AJ15" s="25">
        <f>AI15+'Cashflow Workings'!AJ35</f>
        <v>300000</v>
      </c>
      <c r="AK15" s="25">
        <f>AJ15+'Cashflow Workings'!AK35</f>
        <v>300000</v>
      </c>
      <c r="AL15" s="25">
        <f>AK15+'Cashflow Workings'!AL35</f>
        <v>300000</v>
      </c>
      <c r="AM15" s="25">
        <f>AL15+'Cashflow Workings'!AM35</f>
        <v>300000</v>
      </c>
      <c r="AN15" s="25">
        <f>AM15+'Cashflow Workings'!AN35</f>
        <v>300000</v>
      </c>
      <c r="AO15" s="25">
        <f>AN15+'Cashflow Workings'!AO35</f>
        <v>300000</v>
      </c>
      <c r="AP15" s="25">
        <f>AO15+'Cashflow Workings'!AP35</f>
        <v>300000</v>
      </c>
      <c r="AQ15" s="25">
        <f>AP15+'Cashflow Workings'!AQ35</f>
        <v>300000</v>
      </c>
      <c r="AR15" s="25">
        <f>AQ15+'Cashflow Workings'!AR35</f>
        <v>300000</v>
      </c>
      <c r="AS15" s="25">
        <f>AR15+'Cashflow Workings'!AS35</f>
        <v>300000</v>
      </c>
      <c r="AT15" s="25">
        <f>AS15+'Cashflow Workings'!AT35</f>
        <v>300000</v>
      </c>
      <c r="AU15" s="25">
        <f>AT15+'Cashflow Workings'!AU35</f>
        <v>300000</v>
      </c>
      <c r="AV15" s="25">
        <f>AU15+'Cashflow Workings'!AV35</f>
        <v>300000</v>
      </c>
      <c r="AW15" s="25">
        <f>AV15+'Cashflow Workings'!AW35</f>
        <v>300000</v>
      </c>
      <c r="AX15" s="25">
        <f>AW15+'Cashflow Workings'!AX35</f>
        <v>300000</v>
      </c>
      <c r="AY15" s="25">
        <f>AX15+'Cashflow Workings'!AY35</f>
        <v>300000</v>
      </c>
      <c r="AZ15" s="25">
        <f>AY15+'Cashflow Workings'!AZ35</f>
        <v>300000</v>
      </c>
      <c r="BA15" s="25">
        <f>AZ15+'Cashflow Workings'!BA35</f>
        <v>300000</v>
      </c>
    </row>
    <row r="16" spans="1:53" ht="14.25" customHeight="1" x14ac:dyDescent="0.35">
      <c r="A16" s="26"/>
      <c r="B16" s="1" t="s">
        <v>205</v>
      </c>
      <c r="C16" s="25">
        <f>'Cashflow Workings'!C21</f>
        <v>0</v>
      </c>
      <c r="D16" s="25">
        <f>C16+'Cashflow Workings'!D21-'Cashflow Workings'!D15</f>
        <v>0</v>
      </c>
      <c r="E16" s="25">
        <f>D16+'Cashflow Workings'!E21-'Cashflow Workings'!E15</f>
        <v>0</v>
      </c>
      <c r="F16" s="25">
        <f>E16+'Cashflow Workings'!F21-'Cashflow Workings'!F15</f>
        <v>0</v>
      </c>
      <c r="G16" s="25">
        <f>F16+'Cashflow Workings'!G21-'Cashflow Workings'!G15</f>
        <v>0</v>
      </c>
      <c r="H16" s="25">
        <f>G16+'Cashflow Workings'!H21-'Cashflow Workings'!H15</f>
        <v>0</v>
      </c>
      <c r="I16" s="25">
        <f>H16+'Cashflow Workings'!I21-'Cashflow Workings'!I15</f>
        <v>0</v>
      </c>
      <c r="J16" s="25">
        <f>I16+'Cashflow Workings'!J21-'Cashflow Workings'!J15</f>
        <v>0</v>
      </c>
      <c r="K16" s="25">
        <f>J16+'Cashflow Workings'!K21-'Cashflow Workings'!K15</f>
        <v>0</v>
      </c>
      <c r="L16" s="25">
        <f>K16+'Cashflow Workings'!L21-'Cashflow Workings'!L15</f>
        <v>0</v>
      </c>
      <c r="M16" s="25">
        <f>L16+'Cashflow Workings'!M21-'Cashflow Workings'!M15</f>
        <v>0</v>
      </c>
      <c r="N16" s="25">
        <f>M16+'Cashflow Workings'!N21-'Cashflow Workings'!N15</f>
        <v>0</v>
      </c>
      <c r="O16" s="25">
        <f>N16+'Cashflow Workings'!O21-'Cashflow Workings'!O15</f>
        <v>0</v>
      </c>
      <c r="P16" s="25">
        <f>O16+'Cashflow Workings'!P21-'Cashflow Workings'!P15</f>
        <v>0</v>
      </c>
      <c r="Q16" s="25">
        <f>P16+'Cashflow Workings'!Q21-'Cashflow Workings'!Q15</f>
        <v>0</v>
      </c>
      <c r="R16" s="25">
        <f>Q16+'Cashflow Workings'!R21-'Cashflow Workings'!R15</f>
        <v>0</v>
      </c>
      <c r="S16" s="25">
        <f>R16+'Cashflow Workings'!S21-'Cashflow Workings'!S15</f>
        <v>0</v>
      </c>
      <c r="T16" s="25">
        <f>S16+'Cashflow Workings'!T21-'Cashflow Workings'!T15</f>
        <v>0</v>
      </c>
      <c r="U16" s="25">
        <f>T16+'Cashflow Workings'!U21-'Cashflow Workings'!U15</f>
        <v>0</v>
      </c>
      <c r="V16" s="25">
        <f>U16+'Cashflow Workings'!V21-'Cashflow Workings'!V15</f>
        <v>0</v>
      </c>
      <c r="W16" s="25">
        <f>V16+'Cashflow Workings'!W21-'Cashflow Workings'!W15</f>
        <v>0</v>
      </c>
      <c r="X16" s="25">
        <f>W16+'Cashflow Workings'!X21-'Cashflow Workings'!X15</f>
        <v>0</v>
      </c>
      <c r="Y16" s="25">
        <f>X16+'Cashflow Workings'!Y21-'Cashflow Workings'!Y15</f>
        <v>0</v>
      </c>
      <c r="Z16" s="25">
        <f>Y16+'Cashflow Workings'!Z21-'Cashflow Workings'!Z15</f>
        <v>0</v>
      </c>
      <c r="AA16" s="25">
        <f>Z16+'Cashflow Workings'!AA21-'Cashflow Workings'!AA15</f>
        <v>0</v>
      </c>
      <c r="AB16" s="25">
        <f>AA16+'Cashflow Workings'!AB21-'Cashflow Workings'!AB15</f>
        <v>0</v>
      </c>
      <c r="AC16" s="25">
        <f>AB16+'Cashflow Workings'!AC21-'Cashflow Workings'!AC15</f>
        <v>0</v>
      </c>
      <c r="AD16" s="25">
        <f>AC16+'Cashflow Workings'!AD21-'Cashflow Workings'!AD15</f>
        <v>0</v>
      </c>
      <c r="AE16" s="25">
        <f>AD16+'Cashflow Workings'!AE21-'Cashflow Workings'!AE15</f>
        <v>0</v>
      </c>
      <c r="AF16" s="25">
        <f>AE16+'Cashflow Workings'!AF21-'Cashflow Workings'!AF15</f>
        <v>0</v>
      </c>
      <c r="AG16" s="25">
        <f>AF16+'Cashflow Workings'!AG21-'Cashflow Workings'!AG15</f>
        <v>0</v>
      </c>
      <c r="AH16" s="25">
        <f>AG16+'Cashflow Workings'!AH21-'Cashflow Workings'!AH15</f>
        <v>0</v>
      </c>
      <c r="AI16" s="25">
        <f>AH16+'Cashflow Workings'!AI21-'Cashflow Workings'!AI15</f>
        <v>0</v>
      </c>
      <c r="AJ16" s="25">
        <f>AI16+'Cashflow Workings'!AJ21-'Cashflow Workings'!AJ15</f>
        <v>0</v>
      </c>
      <c r="AK16" s="25">
        <f>AJ16+'Cashflow Workings'!AK21-'Cashflow Workings'!AK15</f>
        <v>0</v>
      </c>
      <c r="AL16" s="25">
        <f>AK16+'Cashflow Workings'!AL21-'Cashflow Workings'!AL15</f>
        <v>0</v>
      </c>
      <c r="AM16" s="25">
        <f>AL16+'Cashflow Workings'!AM21-'Cashflow Workings'!AM15</f>
        <v>0</v>
      </c>
      <c r="AN16" s="25">
        <f>AM16+'Cashflow Workings'!AN21-'Cashflow Workings'!AN15</f>
        <v>0</v>
      </c>
      <c r="AO16" s="25">
        <f>AN16+'Cashflow Workings'!AO21-'Cashflow Workings'!AO15</f>
        <v>0</v>
      </c>
      <c r="AP16" s="25">
        <f>AO16+'Cashflow Workings'!AP21-'Cashflow Workings'!AP15</f>
        <v>0</v>
      </c>
      <c r="AQ16" s="25">
        <f>AP16+'Cashflow Workings'!AQ21-'Cashflow Workings'!AQ15</f>
        <v>0</v>
      </c>
      <c r="AR16" s="25">
        <f>AQ16+'Cashflow Workings'!AR21-'Cashflow Workings'!AR15</f>
        <v>0</v>
      </c>
      <c r="AS16" s="25">
        <f>AR16+'Cashflow Workings'!AS21-'Cashflow Workings'!AS15</f>
        <v>0</v>
      </c>
      <c r="AT16" s="25">
        <f>AS16+'Cashflow Workings'!AT21-'Cashflow Workings'!AT15</f>
        <v>0</v>
      </c>
      <c r="AU16" s="25">
        <f>AT16+'Cashflow Workings'!AU21-'Cashflow Workings'!AU15</f>
        <v>0</v>
      </c>
      <c r="AV16" s="25">
        <f>AU16+'Cashflow Workings'!AV21-'Cashflow Workings'!AV15</f>
        <v>0</v>
      </c>
      <c r="AW16" s="25">
        <f>AV16+'Cashflow Workings'!AW21-'Cashflow Workings'!AW15</f>
        <v>0</v>
      </c>
      <c r="AX16" s="25">
        <f>AW16+'Cashflow Workings'!AX21-'Cashflow Workings'!AX15</f>
        <v>0</v>
      </c>
      <c r="AY16" s="25">
        <f>AX16+'Cashflow Workings'!AY21-'Cashflow Workings'!AY15</f>
        <v>0</v>
      </c>
      <c r="AZ16" s="25">
        <f>AY16+'Cashflow Workings'!AZ21-'Cashflow Workings'!AZ15</f>
        <v>0</v>
      </c>
      <c r="BA16" s="25">
        <f>AZ16+'Cashflow Workings'!BA21-'Cashflow Workings'!BA15</f>
        <v>0</v>
      </c>
    </row>
    <row r="17" spans="1:53" s="13" customFormat="1" ht="12.75" customHeight="1" x14ac:dyDescent="0.25">
      <c r="B17" s="61" t="s">
        <v>206</v>
      </c>
      <c r="C17" s="33">
        <f>'Cashflow Workings'!C50</f>
        <v>0</v>
      </c>
      <c r="D17" s="33">
        <f>'Cashflow Workings'!D50</f>
        <v>0</v>
      </c>
      <c r="E17" s="33">
        <f>'Cashflow Workings'!E50</f>
        <v>1900550.0993992675</v>
      </c>
      <c r="F17" s="33">
        <f>'Cashflow Workings'!F50</f>
        <v>1912904.7984817449</v>
      </c>
      <c r="G17" s="33">
        <f>'Cashflow Workings'!G50</f>
        <v>1970397.1992693506</v>
      </c>
      <c r="H17" s="33">
        <f>'Cashflow Workings'!H50</f>
        <v>1855107.3155569562</v>
      </c>
      <c r="I17" s="33">
        <f>'Cashflow Workings'!I50</f>
        <v>1829484.562219562</v>
      </c>
      <c r="J17" s="33">
        <f>'Cashflow Workings'!J50</f>
        <v>2112280.3401321676</v>
      </c>
      <c r="K17" s="33">
        <f>'Cashflow Workings'!K50</f>
        <v>2142267.0601697732</v>
      </c>
      <c r="L17" s="33">
        <f>'Cashflow Workings'!L50</f>
        <v>1777094.9102073787</v>
      </c>
      <c r="M17" s="33">
        <f>'Cashflow Workings'!M50</f>
        <v>1779575.9494949842</v>
      </c>
      <c r="N17" s="33">
        <f>'Cashflow Workings'!N50</f>
        <v>1875156.5886325897</v>
      </c>
      <c r="O17" s="33">
        <f>'Cashflow Workings'!O50</f>
        <v>1247409.4483201953</v>
      </c>
      <c r="P17" s="33">
        <f>'Cashflow Workings'!P50</f>
        <v>1194879.1261078008</v>
      </c>
      <c r="Q17" s="33">
        <f>'Cashflow Workings'!Q50</f>
        <v>1252371.5268954064</v>
      </c>
      <c r="R17" s="33">
        <f>'Cashflow Workings'!R50</f>
        <v>1090146.0354330121</v>
      </c>
      <c r="S17" s="33">
        <f>'Cashflow Workings'!S50</f>
        <v>1254569.8517206179</v>
      </c>
      <c r="T17" s="33">
        <f>'Cashflow Workings'!T50</f>
        <v>1517953.5192582237</v>
      </c>
      <c r="U17" s="33">
        <f>'Cashflow Workings'!U50</f>
        <v>1532472.1532958292</v>
      </c>
      <c r="V17" s="33">
        <f>'Cashflow Workings'!V50</f>
        <v>1956020.8698334349</v>
      </c>
      <c r="W17" s="33">
        <f>'Cashflow Workings'!W50</f>
        <v>2089489.6048710407</v>
      </c>
      <c r="X17" s="33">
        <f>'Cashflow Workings'!X50</f>
        <v>1809869.0863226359</v>
      </c>
      <c r="Y17" s="33">
        <f>'Cashflow Workings'!Y50</f>
        <v>1912382.7401102413</v>
      </c>
      <c r="Z17" s="33">
        <f>'Cashflow Workings'!Z50</f>
        <v>1928532.6812632317</v>
      </c>
      <c r="AA17" s="33">
        <f>'Cashflow Workings'!AA50</f>
        <v>1325135.4939648267</v>
      </c>
      <c r="AB17" s="33">
        <f>'Cashflow Workings'!AB50</f>
        <v>1396694.0665024321</v>
      </c>
      <c r="AC17" s="33">
        <f>'Cashflow Workings'!AC50</f>
        <v>1561117.8827900379</v>
      </c>
      <c r="AD17" s="33">
        <f>'Cashflow Workings'!AD50</f>
        <v>1637757.9908706937</v>
      </c>
      <c r="AE17" s="33">
        <f>'Cashflow Workings'!AE50</f>
        <v>2053609.7455373607</v>
      </c>
      <c r="AF17" s="33">
        <f>'Cashflow Workings'!AF50</f>
        <v>2535741.1822040277</v>
      </c>
      <c r="AG17" s="33">
        <f>'Cashflow Workings'!AG50</f>
        <v>2752635.6072846837</v>
      </c>
      <c r="AH17" s="33">
        <f>'Cashflow Workings'!AH50</f>
        <v>3398473.7192013506</v>
      </c>
      <c r="AI17" s="33">
        <f>'Cashflow Workings'!AI50</f>
        <v>3743137.0296180174</v>
      </c>
      <c r="AJ17" s="33">
        <f>'Cashflow Workings'!AJ50</f>
        <v>3720159.830426415</v>
      </c>
      <c r="AK17" s="33">
        <f>'Cashflow Workings'!AK50</f>
        <v>4030578.206468082</v>
      </c>
      <c r="AL17" s="33">
        <f>'Cashflow Workings'!AL50</f>
        <v>4446429.9611347485</v>
      </c>
      <c r="AM17" s="33">
        <f>'Cashflow Workings'!AM50</f>
        <v>4093580.318193146</v>
      </c>
      <c r="AN17" s="33">
        <f>'Cashflow Workings'!AN50</f>
        <v>4335508.8254848123</v>
      </c>
      <c r="AO17" s="33">
        <f>'Cashflow Workings'!AO50</f>
        <v>4714417.0702764792</v>
      </c>
      <c r="AP17" s="33">
        <f>'Cashflow Workings'!AP50</f>
        <v>4943896.9324598759</v>
      </c>
      <c r="AQ17" s="33">
        <f>'Cashflow Workings'!AQ50</f>
        <v>5430777.4371265434</v>
      </c>
      <c r="AR17" s="33">
        <f>'Cashflow Workings'!AR50</f>
        <v>5981646.3737932108</v>
      </c>
      <c r="AS17" s="33">
        <f>'Cashflow Workings'!AS50</f>
        <v>6323271.5683516087</v>
      </c>
      <c r="AT17" s="33">
        <f>'Cashflow Workings'!AT50</f>
        <v>7040138.4302682756</v>
      </c>
      <c r="AU17" s="33">
        <f>'Cashflow Workings'!AU50</f>
        <v>7461092.4344349429</v>
      </c>
      <c r="AV17" s="33">
        <f>'Cashflow Workings'!AV50</f>
        <v>7568171.2768221181</v>
      </c>
      <c r="AW17" s="33">
        <f>'Cashflow Workings'!AW50</f>
        <v>7945035.9028637847</v>
      </c>
      <c r="AX17" s="33">
        <f>'Cashflow Workings'!AX50</f>
        <v>8431916.4075304512</v>
      </c>
      <c r="AY17" s="33">
        <f>'Cashflow Workings'!AY50</f>
        <v>8174126.5911676269</v>
      </c>
      <c r="AZ17" s="33">
        <f>'Cashflow Workings'!AZ50</f>
        <v>8477918.8484592941</v>
      </c>
      <c r="BA17" s="33">
        <f>'Cashflow Workings'!BA50</f>
        <v>8927855.8432509601</v>
      </c>
    </row>
    <row r="18" spans="1:53" ht="12.75" customHeight="1" x14ac:dyDescent="0.25">
      <c r="B18" s="63"/>
      <c r="C18" s="28">
        <f t="shared" ref="C18:AH18" si="6">SUM(C15:C17)</f>
        <v>0</v>
      </c>
      <c r="D18" s="28">
        <f t="shared" si="6"/>
        <v>0</v>
      </c>
      <c r="E18" s="28">
        <f t="shared" si="6"/>
        <v>2200550.0993992677</v>
      </c>
      <c r="F18" s="28">
        <f t="shared" si="6"/>
        <v>2212904.7984817447</v>
      </c>
      <c r="G18" s="28">
        <f t="shared" si="6"/>
        <v>2270397.1992693506</v>
      </c>
      <c r="H18" s="28">
        <f t="shared" si="6"/>
        <v>2155107.3155569565</v>
      </c>
      <c r="I18" s="28">
        <f t="shared" si="6"/>
        <v>2129484.562219562</v>
      </c>
      <c r="J18" s="28">
        <f t="shared" si="6"/>
        <v>2412280.3401321676</v>
      </c>
      <c r="K18" s="28">
        <f t="shared" si="6"/>
        <v>2442267.0601697732</v>
      </c>
      <c r="L18" s="28">
        <f t="shared" si="6"/>
        <v>2077094.9102073787</v>
      </c>
      <c r="M18" s="28">
        <f t="shared" si="6"/>
        <v>2079575.9494949842</v>
      </c>
      <c r="N18" s="28">
        <f t="shared" si="6"/>
        <v>2175156.5886325897</v>
      </c>
      <c r="O18" s="28">
        <f t="shared" si="6"/>
        <v>1547409.4483201953</v>
      </c>
      <c r="P18" s="28">
        <f t="shared" si="6"/>
        <v>1494879.1261078008</v>
      </c>
      <c r="Q18" s="28">
        <f t="shared" si="6"/>
        <v>1552371.5268954064</v>
      </c>
      <c r="R18" s="28">
        <f t="shared" si="6"/>
        <v>1390146.0354330121</v>
      </c>
      <c r="S18" s="28">
        <f t="shared" si="6"/>
        <v>1554569.8517206179</v>
      </c>
      <c r="T18" s="28">
        <f t="shared" si="6"/>
        <v>1817953.5192582237</v>
      </c>
      <c r="U18" s="28">
        <f t="shared" si="6"/>
        <v>1832472.1532958292</v>
      </c>
      <c r="V18" s="28">
        <f t="shared" si="6"/>
        <v>2256020.8698334349</v>
      </c>
      <c r="W18" s="28">
        <f t="shared" si="6"/>
        <v>2389489.6048710407</v>
      </c>
      <c r="X18" s="28">
        <f t="shared" si="6"/>
        <v>2109869.0863226359</v>
      </c>
      <c r="Y18" s="28">
        <f t="shared" si="6"/>
        <v>2212382.7401102413</v>
      </c>
      <c r="Z18" s="28">
        <f t="shared" si="6"/>
        <v>2228532.6812632317</v>
      </c>
      <c r="AA18" s="28">
        <f t="shared" si="6"/>
        <v>1625135.4939648267</v>
      </c>
      <c r="AB18" s="28">
        <f t="shared" si="6"/>
        <v>1696694.0665024321</v>
      </c>
      <c r="AC18" s="28">
        <f t="shared" si="6"/>
        <v>1861117.8827900379</v>
      </c>
      <c r="AD18" s="28">
        <f t="shared" si="6"/>
        <v>1937757.9908706937</v>
      </c>
      <c r="AE18" s="28">
        <f t="shared" si="6"/>
        <v>2353609.7455373607</v>
      </c>
      <c r="AF18" s="28">
        <f t="shared" si="6"/>
        <v>2835741.1822040277</v>
      </c>
      <c r="AG18" s="28">
        <f t="shared" si="6"/>
        <v>3052635.6072846837</v>
      </c>
      <c r="AH18" s="28">
        <f t="shared" si="6"/>
        <v>3698473.7192013506</v>
      </c>
      <c r="AI18" s="28">
        <f t="shared" ref="AI18:BA18" si="7">SUM(AI15:AI17)</f>
        <v>4043137.0296180174</v>
      </c>
      <c r="AJ18" s="28">
        <f t="shared" si="7"/>
        <v>4020159.830426415</v>
      </c>
      <c r="AK18" s="28">
        <f t="shared" si="7"/>
        <v>4330578.206468082</v>
      </c>
      <c r="AL18" s="28">
        <f t="shared" si="7"/>
        <v>4746429.9611347485</v>
      </c>
      <c r="AM18" s="28">
        <f t="shared" si="7"/>
        <v>4393580.318193146</v>
      </c>
      <c r="AN18" s="28">
        <f t="shared" si="7"/>
        <v>4635508.8254848123</v>
      </c>
      <c r="AO18" s="28">
        <f t="shared" si="7"/>
        <v>5014417.0702764792</v>
      </c>
      <c r="AP18" s="28">
        <f t="shared" si="7"/>
        <v>5243896.9324598759</v>
      </c>
      <c r="AQ18" s="28">
        <f t="shared" si="7"/>
        <v>5730777.4371265434</v>
      </c>
      <c r="AR18" s="28">
        <f t="shared" si="7"/>
        <v>6281646.3737932108</v>
      </c>
      <c r="AS18" s="28">
        <f t="shared" si="7"/>
        <v>6623271.5683516087</v>
      </c>
      <c r="AT18" s="28">
        <f t="shared" si="7"/>
        <v>7340138.4302682756</v>
      </c>
      <c r="AU18" s="28">
        <f t="shared" si="7"/>
        <v>7761092.4344349429</v>
      </c>
      <c r="AV18" s="28">
        <f t="shared" si="7"/>
        <v>7868171.2768221181</v>
      </c>
      <c r="AW18" s="28">
        <f t="shared" si="7"/>
        <v>8245035.9028637847</v>
      </c>
      <c r="AX18" s="28">
        <f t="shared" si="7"/>
        <v>8731916.4075304512</v>
      </c>
      <c r="AY18" s="28">
        <f t="shared" si="7"/>
        <v>8474126.5911676269</v>
      </c>
      <c r="AZ18" s="28">
        <f t="shared" si="7"/>
        <v>8777918.8484592941</v>
      </c>
      <c r="BA18" s="28">
        <f t="shared" si="7"/>
        <v>9227855.8432509601</v>
      </c>
    </row>
    <row r="19" spans="1:53" ht="12.75" customHeight="1" x14ac:dyDescent="0.25">
      <c r="B19" s="61"/>
    </row>
    <row r="20" spans="1:53" ht="15.75" customHeight="1" x14ac:dyDescent="0.35">
      <c r="A20" s="26" t="s">
        <v>207</v>
      </c>
      <c r="B20" s="61"/>
    </row>
    <row r="21" spans="1:53" ht="12.75" customHeight="1" x14ac:dyDescent="0.25">
      <c r="B21" s="61" t="s">
        <v>178</v>
      </c>
      <c r="C21" s="25">
        <f>-P_L!C78-'Cashflow Workings'!C40</f>
        <v>0</v>
      </c>
      <c r="D21" s="25">
        <f>C21-P_L!D78-'Cashflow Workings'!D40</f>
        <v>0</v>
      </c>
      <c r="E21" s="25">
        <f>D21-P_L!E78-'Cashflow Workings'!E40</f>
        <v>-182615.72938461541</v>
      </c>
      <c r="F21" s="25">
        <f>E21-P_L!F78-'Cashflow Workings'!F40</f>
        <v>-187687.38838461597</v>
      </c>
      <c r="G21" s="25">
        <f>F21-P_L!G78-'Cashflow Workings'!G40</f>
        <v>-177454.88400239343</v>
      </c>
      <c r="H21" s="25">
        <f>G21-P_L!H78-'Cashflow Workings'!H40</f>
        <v>-143517.7507737554</v>
      </c>
      <c r="I21" s="25">
        <f>H21-P_L!I78-'Cashflow Workings'!I40</f>
        <v>-75391.039176282109</v>
      </c>
      <c r="J21" s="25">
        <f>I21-P_L!J78-'Cashflow Workings'!J40</f>
        <v>-7077.6770926992031</v>
      </c>
      <c r="K21" s="25">
        <f>J21-P_L!K78-'Cashflow Workings'!K40</f>
        <v>-2536.2297738425059</v>
      </c>
      <c r="L21" s="25">
        <f>K21-P_L!L78-'Cashflow Workings'!L40</f>
        <v>8629.5651987821238</v>
      </c>
      <c r="M21" s="25">
        <f>L21-P_L!M78-'Cashflow Workings'!M40</f>
        <v>7114.5664508445561</v>
      </c>
      <c r="N21" s="25">
        <f>M21-P_L!N78-'Cashflow Workings'!N40</f>
        <v>28386.299953440357</v>
      </c>
      <c r="O21" s="25">
        <f>N21-P_L!O78-'Cashflow Workings'!O40</f>
        <v>-37099.392338254627</v>
      </c>
      <c r="P21" s="25">
        <f>O21-P_L!P78-'Cashflow Workings'!P40</f>
        <v>-50908.1048459257</v>
      </c>
      <c r="Q21" s="25">
        <f>P21-P_L!Q78-'Cashflow Workings'!Q40</f>
        <v>-38780.376728656862</v>
      </c>
      <c r="R21" s="25">
        <f>Q21-P_L!R78-'Cashflow Workings'!R40</f>
        <v>-13787.355243063994</v>
      </c>
      <c r="S21" s="25">
        <f>R21-P_L!S78-'Cashflow Workings'!S40</f>
        <v>26035.022296975087</v>
      </c>
      <c r="T21" s="25">
        <f>S21-P_L!T78-'Cashflow Workings'!T40</f>
        <v>91909.34556099477</v>
      </c>
      <c r="U21" s="25">
        <f>T21-P_L!U78-'Cashflow Workings'!U40</f>
        <v>198289.08624301912</v>
      </c>
      <c r="V21" s="25">
        <f>U21-P_L!V78-'Cashflow Workings'!V40</f>
        <v>304869.55510304309</v>
      </c>
      <c r="W21" s="25">
        <f>V21-P_L!W78-'Cashflow Workings'!W40</f>
        <v>338176.30100891774</v>
      </c>
      <c r="X21" s="25">
        <f>W21-P_L!X78-'Cashflow Workings'!X40</f>
        <v>414961.19814262871</v>
      </c>
      <c r="Y21" s="25">
        <f>X21-P_L!Y78-'Cashflow Workings'!Y40</f>
        <v>441359.43038703175</v>
      </c>
      <c r="Z21" s="25">
        <f>Y21-P_L!Z78-'Cashflow Workings'!Z40</f>
        <v>308747.99696827051</v>
      </c>
      <c r="AA21" s="25">
        <f>Z21-P_L!AA78-'Cashflow Workings'!AA40</f>
        <v>291040.28154577216</v>
      </c>
      <c r="AB21" s="25">
        <f>AA21-P_L!AB78-'Cashflow Workings'!AB40</f>
        <v>310743.19845649361</v>
      </c>
      <c r="AC21" s="25">
        <f>AB21-P_L!AC78-'Cashflow Workings'!AC40</f>
        <v>352603.97128163074</v>
      </c>
      <c r="AD21" s="25">
        <f>AC21-P_L!AD78-'Cashflow Workings'!AD40</f>
        <v>449184.84301475156</v>
      </c>
      <c r="AE21" s="25">
        <f>AD21-P_L!AE78-'Cashflow Workings'!AE40</f>
        <v>526728.71002439759</v>
      </c>
      <c r="AF21" s="25">
        <f>AE21-P_L!AF78-'Cashflow Workings'!AF40</f>
        <v>621783.44191721629</v>
      </c>
      <c r="AG21" s="25">
        <f>AF21-P_L!AG78-'Cashflow Workings'!AG40</f>
        <v>794008.23960914393</v>
      </c>
      <c r="AH21" s="25">
        <f>AG21-P_L!AH78-'Cashflow Workings'!AH40</f>
        <v>930275.25782828324</v>
      </c>
      <c r="AI21" s="25">
        <f>AH21-P_L!AI78-'Cashflow Workings'!AI40</f>
        <v>990234.9210937703</v>
      </c>
      <c r="AJ21" s="25">
        <f>AI21-P_L!AJ78-'Cashflow Workings'!AJ40</f>
        <v>1183872.2978215632</v>
      </c>
      <c r="AK21" s="25">
        <f>AJ21-P_L!AK78-'Cashflow Workings'!AK40</f>
        <v>1235677.9019166077</v>
      </c>
      <c r="AL21" s="25">
        <f>AK21-P_L!AL78-'Cashflow Workings'!AL40</f>
        <v>1313229.0603684015</v>
      </c>
      <c r="AM21" s="25">
        <f>AL21-P_L!AM78-'Cashflow Workings'!AM40</f>
        <v>1408996.3329460626</v>
      </c>
      <c r="AN21" s="25">
        <f>AM21-P_L!AN78-'Cashflow Workings'!AN40</f>
        <v>1444492.6783934776</v>
      </c>
      <c r="AO21" s="25">
        <f>AN21-P_L!AO78-'Cashflow Workings'!AO40</f>
        <v>1512614.3230251025</v>
      </c>
      <c r="AP21" s="25">
        <f>AO21-P_L!AP78-'Cashflow Workings'!AP40</f>
        <v>1724558.003421264</v>
      </c>
      <c r="AQ21" s="25">
        <f>AP21-P_L!AQ78-'Cashflow Workings'!AQ40</f>
        <v>1820248.8691235378</v>
      </c>
      <c r="AR21" s="25">
        <f>AQ21-P_L!AR78-'Cashflow Workings'!AR40</f>
        <v>1932865.3997307739</v>
      </c>
      <c r="AS21" s="25">
        <f>AR21-P_L!AS78-'Cashflow Workings'!AS40</f>
        <v>2212798.5615946199</v>
      </c>
      <c r="AT21" s="25">
        <f>AS21-P_L!AT78-'Cashflow Workings'!AT40</f>
        <v>2367211.9885151167</v>
      </c>
      <c r="AU21" s="25">
        <f>AT21-P_L!AU78-'Cashflow Workings'!AU40</f>
        <v>2446661.3453369387</v>
      </c>
      <c r="AV21" s="25">
        <f>AU21-P_L!AV78-'Cashflow Workings'!AV40</f>
        <v>2744179.7795989048</v>
      </c>
      <c r="AW21" s="25">
        <f>AV21-P_L!AW78-'Cashflow Workings'!AW40</f>
        <v>2812961.231414672</v>
      </c>
      <c r="AX21" s="25">
        <f>AW21-P_L!AX78-'Cashflow Workings'!AX40</f>
        <v>2908658.0567918429</v>
      </c>
      <c r="AY21" s="25">
        <f>AX21-P_L!AY78-'Cashflow Workings'!AY40</f>
        <v>3099293.0869665686</v>
      </c>
      <c r="AZ21" s="25">
        <f>AY21-P_L!AZ78-'Cashflow Workings'!AZ40</f>
        <v>3150594.7467382164</v>
      </c>
      <c r="BA21" s="25">
        <f>AZ21-P_L!BA78-'Cashflow Workings'!BA40</f>
        <v>3236861.5337886703</v>
      </c>
    </row>
    <row r="22" spans="1:53" ht="12.75" customHeight="1" x14ac:dyDescent="0.25">
      <c r="B22" s="61" t="s">
        <v>208</v>
      </c>
      <c r="C22" s="62">
        <f>'Cashflow Workings'!C55-'Cashflow Workings'!C42</f>
        <v>0</v>
      </c>
      <c r="D22" s="25">
        <f>C22+'Cashflow Workings'!D55-'Cashflow Workings'!D42</f>
        <v>0</v>
      </c>
      <c r="E22" s="25">
        <f>D22+'Cashflow Workings'!E55-'Cashflow Workings'!E42</f>
        <v>-82373.659794871812</v>
      </c>
      <c r="F22" s="25">
        <f>E22+'Cashflow Workings'!F55-'Cashflow Workings'!F42</f>
        <v>55927.217583333288</v>
      </c>
      <c r="G22" s="25">
        <f>F22+'Cashflow Workings'!G55-'Cashflow Workings'!G42</f>
        <v>176462.93666666659</v>
      </c>
      <c r="H22" s="25">
        <f>G22+'Cashflow Workings'!H55-'Cashflow Workings'!H42</f>
        <v>308418.53124999994</v>
      </c>
      <c r="I22" s="25">
        <f>H22+'Cashflow Workings'!I55-'Cashflow Workings'!I42</f>
        <v>154091.54120833328</v>
      </c>
      <c r="J22" s="25">
        <f>I22+'Cashflow Workings'!J55-'Cashflow Workings'!J42</f>
        <v>308183.08241666656</v>
      </c>
      <c r="K22" s="25">
        <f>J22+'Cashflow Workings'!K55-'Cashflow Workings'!K42</f>
        <v>422664.55074999988</v>
      </c>
      <c r="L22" s="25">
        <f>K22+'Cashflow Workings'!L55-'Cashflow Workings'!L42</f>
        <v>120535.71908333327</v>
      </c>
      <c r="M22" s="25">
        <f>L22+'Cashflow Workings'!M55-'Cashflow Workings'!M42</f>
        <v>228962.93666666656</v>
      </c>
      <c r="N22" s="25">
        <f>M22+'Cashflow Workings'!N55-'Cashflow Workings'!N42</f>
        <v>355171.37209999986</v>
      </c>
      <c r="O22" s="25">
        <f>N22+'Cashflow Workings'!O55-'Cashflow Workings'!O42</f>
        <v>47884.710083333252</v>
      </c>
      <c r="P22" s="25">
        <f>O22+'Cashflow Workings'!P55-'Cashflow Workings'!P42</f>
        <v>144203.42616666656</v>
      </c>
      <c r="Q22" s="25">
        <f>P22+'Cashflow Workings'!Q55-'Cashflow Workings'!Q42</f>
        <v>264739.14524999983</v>
      </c>
      <c r="R22" s="25">
        <f>Q22+'Cashflow Workings'!R55-'Cashflow Workings'!R42</f>
        <v>123325.69208333321</v>
      </c>
      <c r="S22" s="25">
        <f>R22+'Cashflow Workings'!S55-'Cashflow Workings'!S42</f>
        <v>259787.36666666655</v>
      </c>
      <c r="T22" s="25">
        <f>S22+'Cashflow Workings'!T55-'Cashflow Workings'!T42</f>
        <v>409030.0824999999</v>
      </c>
      <c r="U22" s="25">
        <f>T22+'Cashflow Workings'!U55-'Cashflow Workings'!U42</f>
        <v>175054.74483333318</v>
      </c>
      <c r="V22" s="25">
        <f>U22+'Cashflow Workings'!V55-'Cashflow Workings'!V42</f>
        <v>350109.48966666649</v>
      </c>
      <c r="W22" s="25">
        <f>V22+'Cashflow Workings'!W55-'Cashflow Workings'!W42</f>
        <v>480003.17299999978</v>
      </c>
      <c r="X22" s="25">
        <f>W22+'Cashflow Workings'!X55-'Cashflow Workings'!X42</f>
        <v>136461.6745833332</v>
      </c>
      <c r="Y22" s="25">
        <f>X22+'Cashflow Workings'!Y55-'Cashflow Workings'!Y42</f>
        <v>259787.36666666652</v>
      </c>
      <c r="Z22" s="25">
        <f>Y22+'Cashflow Workings'!Z55-'Cashflow Workings'!Z42</f>
        <v>401363.78549999988</v>
      </c>
      <c r="AA22" s="25">
        <f>Z22+'Cashflow Workings'!AA55-'Cashflow Workings'!AA42</f>
        <v>51077.788333333214</v>
      </c>
      <c r="AB22" s="25">
        <f>AA22+'Cashflow Workings'!AB55-'Cashflow Workings'!AB42</f>
        <v>167835.48916666649</v>
      </c>
      <c r="AC22" s="25">
        <f>AB22+'Cashflow Workings'!AC55-'Cashflow Workings'!AC42</f>
        <v>304297.16374999983</v>
      </c>
      <c r="AD22" s="25">
        <f>AC22+'Cashflow Workings'!AD55-'Cashflow Workings'!AD42</f>
        <v>142682.30033333314</v>
      </c>
      <c r="AE22" s="25">
        <f>AD22+'Cashflow Workings'!AE55-'Cashflow Workings'!AE42</f>
        <v>299835.52166666649</v>
      </c>
      <c r="AF22" s="25">
        <f>AE22+'Cashflow Workings'!AF55-'Cashflow Workings'!AF42</f>
        <v>464902.52499999979</v>
      </c>
      <c r="AG22" s="25">
        <f>AF22+'Cashflow Workings'!AG55-'Cashflow Workings'!AG42</f>
        <v>191406.50858333323</v>
      </c>
      <c r="AH22" s="25">
        <f>AG22+'Cashflow Workings'!AH55-'Cashflow Workings'!AH42</f>
        <v>382813.01716666657</v>
      </c>
      <c r="AI22" s="25">
        <f>AH22+'Cashflow Workings'!AI55-'Cashflow Workings'!AI42</f>
        <v>527406.0442499998</v>
      </c>
      <c r="AJ22" s="25">
        <f>AI22+'Cashflow Workings'!AJ55-'Cashflow Workings'!AJ42</f>
        <v>151650.99645833322</v>
      </c>
      <c r="AK22" s="25">
        <f>AJ22+'Cashflow Workings'!AK55-'Cashflow Workings'!AK42</f>
        <v>289186.05416666652</v>
      </c>
      <c r="AL22" s="25">
        <f>AK22+'Cashflow Workings'!AL55-'Cashflow Workings'!AL42</f>
        <v>446339.27549999987</v>
      </c>
      <c r="AM22" s="25">
        <f>AL22+'Cashflow Workings'!AM55-'Cashflow Workings'!AM42</f>
        <v>66955.363958333211</v>
      </c>
      <c r="AN22" s="25">
        <f>AM22+'Cashflow Workings'!AN55-'Cashflow Workings'!AN42</f>
        <v>190374.48291666651</v>
      </c>
      <c r="AO22" s="25">
        <f>AN22+'Cashflow Workings'!AO55-'Cashflow Workings'!AO42</f>
        <v>342025.47937499988</v>
      </c>
      <c r="AP22" s="25">
        <f>AO22+'Cashflow Workings'!AP55-'Cashflow Workings'!AP42</f>
        <v>157725.79295833316</v>
      </c>
      <c r="AQ22" s="25">
        <f>AP22+'Cashflow Workings'!AQ55-'Cashflow Workings'!AQ42</f>
        <v>325457.76429166645</v>
      </c>
      <c r="AR22" s="25">
        <f>AQ22+'Cashflow Workings'!AR55-'Cashflow Workings'!AR42</f>
        <v>500762.26762499975</v>
      </c>
      <c r="AS22" s="25">
        <f>AR22+'Cashflow Workings'!AS55-'Cashflow Workings'!AS42</f>
        <v>201985.25858333323</v>
      </c>
      <c r="AT22" s="25">
        <f>AS22+'Cashflow Workings'!AT55-'Cashflow Workings'!AT42</f>
        <v>403970.51716666657</v>
      </c>
      <c r="AU22" s="25">
        <f>AT22+'Cashflow Workings'!AU55-'Cashflow Workings'!AU42</f>
        <v>559925.9879999999</v>
      </c>
      <c r="AV22" s="25">
        <f>AU22+'Cashflow Workings'!AV55-'Cashflow Workings'!AV42</f>
        <v>163392.18833333335</v>
      </c>
      <c r="AW22" s="25">
        <f>AV22+'Cashflow Workings'!AW55-'Cashflow Workings'!AW42</f>
        <v>310823.49604166666</v>
      </c>
      <c r="AX22" s="25">
        <f>AW22+'Cashflow Workings'!AX55-'Cashflow Workings'!AX42</f>
        <v>478555.46737500001</v>
      </c>
      <c r="AY22" s="25">
        <f>AX22+'Cashflow Workings'!AY55-'Cashflow Workings'!AY42</f>
        <v>73439.113958333386</v>
      </c>
      <c r="AZ22" s="25">
        <f>AY22+'Cashflow Workings'!AZ55-'Cashflow Workings'!AZ42</f>
        <v>206071.98291666672</v>
      </c>
      <c r="BA22" s="25">
        <f>AZ22+'Cashflow Workings'!BA55-'Cashflow Workings'!BA42</f>
        <v>368301.72937500011</v>
      </c>
    </row>
    <row r="23" spans="1:53" ht="12.75" customHeight="1" x14ac:dyDescent="0.25">
      <c r="B23" s="61" t="s">
        <v>209</v>
      </c>
      <c r="C23" s="25">
        <f>'Cashflow Workings'!C16-'Cashflow Workings'!C41+'P_L Workings'!C167</f>
        <v>0</v>
      </c>
      <c r="D23" s="25">
        <f>C23+'Cashflow Workings'!D16-'Cashflow Workings'!D41+'P_L Workings'!D167</f>
        <v>0</v>
      </c>
      <c r="E23" s="25">
        <f>'Loan _Int_'!E10+'Loan _Int_ _2_'!E10</f>
        <v>2800000</v>
      </c>
      <c r="F23" s="25">
        <f>'Cashflow Workings'!E16-'Cashflow Workings'!F41+'P_L Workings'!F167</f>
        <v>2710626.0183709408</v>
      </c>
      <c r="G23" s="25">
        <f>+F23+'Cashflow Workings'!G16-'Cashflow Workings'!G41+'P_L Workings'!G167</f>
        <v>2613146.5743566933</v>
      </c>
      <c r="H23" s="25">
        <f>+G23+'Cashflow Workings'!H16-'Cashflow Workings'!H41+'P_L Workings'!H167</f>
        <v>2252455.0038173571</v>
      </c>
      <c r="I23" s="25">
        <f>+H23+'Cashflow Workings'!I16-'Cashflow Workings'!I41+'P_L Workings'!I167</f>
        <v>2153753.2589621502</v>
      </c>
      <c r="J23" s="25">
        <f>+I23+'Cashflow Workings'!J16-'Cashflow Workings'!J41+'P_L Workings'!J167</f>
        <v>2054434.6282015988</v>
      </c>
      <c r="K23" s="25">
        <f>+J23+'Cashflow Workings'!K16-'Cashflow Workings'!K41+'P_L Workings'!K167</f>
        <v>1954495.255998794</v>
      </c>
      <c r="L23" s="25">
        <f>+K23+'Cashflow Workings'!L16-'Cashflow Workings'!L41+'P_L Workings'!L167</f>
        <v>1853931.2627197218</v>
      </c>
      <c r="M23" s="25">
        <f>+L23+'Cashflow Workings'!M16-'Cashflow Workings'!M41+'P_L Workings'!M167</f>
        <v>1752738.7444826555</v>
      </c>
      <c r="N23" s="25">
        <f>+M23+'Cashflow Workings'!N16-'Cashflow Workings'!N41+'P_L Workings'!N167</f>
        <v>1650913.773006608</v>
      </c>
      <c r="O23" s="25">
        <f>+N23+'Cashflow Workings'!O16-'Cashflow Workings'!O41+'P_L Workings'!O167</f>
        <v>1548452.3954588354</v>
      </c>
      <c r="P23" s="25">
        <f>+O23+'Cashflow Workings'!P16-'Cashflow Workings'!P41+'P_L Workings'!P167</f>
        <v>1445350.6343013893</v>
      </c>
      <c r="Q23" s="25">
        <f>+P23+'Cashflow Workings'!Q16-'Cashflow Workings'!Q41+'P_L Workings'!Q167</f>
        <v>1341604.4871367095</v>
      </c>
      <c r="R23" s="25">
        <f>+Q23+'Cashflow Workings'!R16-'Cashflow Workings'!R41+'P_L Workings'!R167</f>
        <v>1237209.9265522505</v>
      </c>
      <c r="S23" s="25">
        <f>+R23+'Cashflow Workings'!S16-'Cashflow Workings'!S41+'P_L Workings'!S167</f>
        <v>1132162.8999641389</v>
      </c>
      <c r="T23" s="25">
        <f>+S23+'Cashflow Workings'!T16-'Cashflow Workings'!T41+'P_L Workings'!T167</f>
        <v>1026459.3294598517</v>
      </c>
      <c r="U23" s="25">
        <f>+T23+'Cashflow Workings'!U16-'Cashflow Workings'!U41+'P_L Workings'!U167</f>
        <v>920095.11163991282</v>
      </c>
      <c r="V23" s="25">
        <f>+U23+'Cashflow Workings'!V16-'Cashflow Workings'!V41+'P_L Workings'!V167</f>
        <v>813066.1174585995</v>
      </c>
      <c r="W23" s="25">
        <f>+V23+'Cashflow Workings'!W16-'Cashflow Workings'!W41+'P_L Workings'!W167</f>
        <v>705368.19206365326</v>
      </c>
      <c r="X23" s="25">
        <f>+W23+'Cashflow Workings'!X16-'Cashflow Workings'!X41+'P_L Workings'!X167</f>
        <v>596997.15463498875</v>
      </c>
      <c r="Y23" s="25">
        <f>+X23+'Cashflow Workings'!Y16-'Cashflow Workings'!Y41+'P_L Workings'!Y167</f>
        <v>487948.79822239536</v>
      </c>
      <c r="Z23" s="25">
        <f>+Y23+'Cashflow Workings'!Z16-'Cashflow Workings'!Z41+'P_L Workings'!Z167</f>
        <v>378218.88958222349</v>
      </c>
      <c r="AA23" s="25">
        <f>+Z23+'Cashflow Workings'!AA16-'Cashflow Workings'!AA41+'P_L Workings'!AA167</f>
        <v>267803.16901305073</v>
      </c>
      <c r="AB23" s="25">
        <f>+AA23+'Cashflow Workings'!AB16-'Cashflow Workings'!AB41+'P_L Workings'!AB167</f>
        <v>156697.35019032087</v>
      </c>
      <c r="AC23" s="25">
        <f>+AB23+'Cashflow Workings'!AC16-'Cashflow Workings'!AC41+'P_L Workings'!AC167</f>
        <v>44897.119999949144</v>
      </c>
      <c r="AD23" s="25">
        <f>+AC23+'Cashflow Workings'!AD16-'Cashflow Workings'!AD41+'P_L Workings'!AD167</f>
        <v>44897.119999949144</v>
      </c>
      <c r="AE23" s="25">
        <f>+AD23+'Cashflow Workings'!AE16-'Cashflow Workings'!AE41+'P_L Workings'!AE167</f>
        <v>44897.119999949144</v>
      </c>
      <c r="AF23" s="25">
        <f>+AE23+'Cashflow Workings'!AF16-'Cashflow Workings'!AF41+'P_L Workings'!AF167</f>
        <v>44897.119999949144</v>
      </c>
      <c r="AG23" s="25">
        <f>+AF23+'Cashflow Workings'!AG16-'Cashflow Workings'!AG41+'P_L Workings'!AG167</f>
        <v>44897.119999949144</v>
      </c>
      <c r="AH23" s="25">
        <f>+AG23+'Cashflow Workings'!AH16-'Cashflow Workings'!AH41+'P_L Workings'!AH167</f>
        <v>44897.119999949144</v>
      </c>
      <c r="AI23" s="25">
        <f>+AH23+'Cashflow Workings'!AI16-'Cashflow Workings'!AI41+'P_L Workings'!AI167</f>
        <v>44897.119999949144</v>
      </c>
      <c r="AJ23" s="25">
        <f>+AI23+'Cashflow Workings'!AJ16-'Cashflow Workings'!AJ41+'P_L Workings'!AJ167</f>
        <v>44897.119999949144</v>
      </c>
      <c r="AK23" s="25">
        <f>+AJ23+'Cashflow Workings'!AK16-'Cashflow Workings'!AK41+'P_L Workings'!AK167</f>
        <v>44897.119999949144</v>
      </c>
      <c r="AL23" s="25">
        <f>+AK23+'Cashflow Workings'!AL16-'Cashflow Workings'!AL41+'P_L Workings'!AL167</f>
        <v>44897.119999949144</v>
      </c>
      <c r="AM23" s="25">
        <f>+AL23+'Cashflow Workings'!AM16-'Cashflow Workings'!AM41+'P_L Workings'!AM167</f>
        <v>44897.119999949144</v>
      </c>
      <c r="AN23" s="25">
        <f>+AM23+'Cashflow Workings'!AN16-'Cashflow Workings'!AN41+'P_L Workings'!AN167</f>
        <v>44897.119999949144</v>
      </c>
      <c r="AO23" s="25">
        <f>+AN23+'Cashflow Workings'!AO16-'Cashflow Workings'!AO41+'P_L Workings'!AO167</f>
        <v>44897.119999949144</v>
      </c>
      <c r="AP23" s="25">
        <f>+AO23+'Cashflow Workings'!AP16-'Cashflow Workings'!AP41+'P_L Workings'!AP167</f>
        <v>44897.119999949144</v>
      </c>
      <c r="AQ23" s="25">
        <f>+AP23+'Cashflow Workings'!AQ16-'Cashflow Workings'!AQ41+'P_L Workings'!AQ167</f>
        <v>44897.119999949144</v>
      </c>
      <c r="AR23" s="25">
        <f>+AQ23+'Cashflow Workings'!AR16-'Cashflow Workings'!AR41+'P_L Workings'!AR167</f>
        <v>44897.119999949144</v>
      </c>
      <c r="AS23" s="25">
        <f>+AR23+'Cashflow Workings'!AS16-'Cashflow Workings'!AS41+'P_L Workings'!AS167</f>
        <v>44897.119999949144</v>
      </c>
      <c r="AT23" s="25">
        <f>+AS23+'Cashflow Workings'!AT16-'Cashflow Workings'!AT41+'P_L Workings'!AT167</f>
        <v>44897.119999949144</v>
      </c>
      <c r="AU23" s="25">
        <f>+AT23+'Cashflow Workings'!AU16-'Cashflow Workings'!AU41+'P_L Workings'!AU167</f>
        <v>44897.119999949144</v>
      </c>
      <c r="AV23" s="25">
        <f>+AU23+'Cashflow Workings'!AV16-'Cashflow Workings'!AV41+'P_L Workings'!AV167</f>
        <v>44897.119999949144</v>
      </c>
      <c r="AW23" s="25">
        <f>+AV23+'Cashflow Workings'!AW16-'Cashflow Workings'!AW41+'P_L Workings'!AW167</f>
        <v>44897.119999949144</v>
      </c>
      <c r="AX23" s="25">
        <f>+AW23+'Cashflow Workings'!AX16-'Cashflow Workings'!AX41+'P_L Workings'!AX167</f>
        <v>44897.119999949144</v>
      </c>
      <c r="AY23" s="25">
        <f>+AX23+'Cashflow Workings'!AY16-'Cashflow Workings'!AY41+'P_L Workings'!AY167</f>
        <v>44897.119999949144</v>
      </c>
      <c r="AZ23" s="25">
        <f>+AY23+'Cashflow Workings'!AZ16-'Cashflow Workings'!AZ41+'P_L Workings'!AZ167</f>
        <v>44897.119999949144</v>
      </c>
      <c r="BA23" s="25">
        <f>+AZ23+'Cashflow Workings'!BA16-'Cashflow Workings'!BA41+'P_L Workings'!BA167</f>
        <v>44897.119999949144</v>
      </c>
    </row>
    <row r="24" spans="1:53" ht="12.75" customHeight="1" x14ac:dyDescent="0.25">
      <c r="B24" s="61"/>
      <c r="C24" s="28">
        <f t="shared" ref="C24:AH24" si="8">SUM(C21:C23)</f>
        <v>0</v>
      </c>
      <c r="D24" s="28">
        <f t="shared" si="8"/>
        <v>0</v>
      </c>
      <c r="E24" s="28">
        <f t="shared" si="8"/>
        <v>2535010.6108205128</v>
      </c>
      <c r="F24" s="28">
        <f t="shared" si="8"/>
        <v>2578865.847569658</v>
      </c>
      <c r="G24" s="28">
        <f t="shared" si="8"/>
        <v>2612154.6270209663</v>
      </c>
      <c r="H24" s="28">
        <f t="shared" si="8"/>
        <v>2417355.7842936018</v>
      </c>
      <c r="I24" s="28">
        <f t="shared" si="8"/>
        <v>2232453.7609942015</v>
      </c>
      <c r="J24" s="28">
        <f t="shared" si="8"/>
        <v>2355540.0335255661</v>
      </c>
      <c r="K24" s="28">
        <f t="shared" si="8"/>
        <v>2374623.5769749512</v>
      </c>
      <c r="L24" s="28">
        <f t="shared" si="8"/>
        <v>1983096.5470018371</v>
      </c>
      <c r="M24" s="28">
        <f t="shared" si="8"/>
        <v>1988816.2476001666</v>
      </c>
      <c r="N24" s="28">
        <f t="shared" si="8"/>
        <v>2034471.4450600483</v>
      </c>
      <c r="O24" s="28">
        <f t="shared" si="8"/>
        <v>1559237.713203914</v>
      </c>
      <c r="P24" s="28">
        <f t="shared" si="8"/>
        <v>1538645.9556221301</v>
      </c>
      <c r="Q24" s="28">
        <f t="shared" si="8"/>
        <v>1567563.2556580524</v>
      </c>
      <c r="R24" s="28">
        <f t="shared" si="8"/>
        <v>1346748.2633925197</v>
      </c>
      <c r="S24" s="28">
        <f t="shared" si="8"/>
        <v>1417985.2889277805</v>
      </c>
      <c r="T24" s="28">
        <f t="shared" si="8"/>
        <v>1527398.7575208463</v>
      </c>
      <c r="U24" s="28">
        <f t="shared" si="8"/>
        <v>1293438.9427162651</v>
      </c>
      <c r="V24" s="28">
        <f t="shared" si="8"/>
        <v>1468045.1622283091</v>
      </c>
      <c r="W24" s="28">
        <f t="shared" si="8"/>
        <v>1523547.6660725707</v>
      </c>
      <c r="X24" s="28">
        <f t="shared" si="8"/>
        <v>1148420.0273609506</v>
      </c>
      <c r="Y24" s="28">
        <f t="shared" si="8"/>
        <v>1189095.5952760936</v>
      </c>
      <c r="Z24" s="28">
        <f t="shared" si="8"/>
        <v>1088330.6720504938</v>
      </c>
      <c r="AA24" s="28">
        <f t="shared" si="8"/>
        <v>609921.23889215617</v>
      </c>
      <c r="AB24" s="28">
        <f t="shared" si="8"/>
        <v>635276.03781348094</v>
      </c>
      <c r="AC24" s="28">
        <f t="shared" si="8"/>
        <v>701798.25503157964</v>
      </c>
      <c r="AD24" s="28">
        <f t="shared" si="8"/>
        <v>636764.26334803388</v>
      </c>
      <c r="AE24" s="28">
        <f t="shared" si="8"/>
        <v>871461.3516910132</v>
      </c>
      <c r="AF24" s="28">
        <f t="shared" si="8"/>
        <v>1131583.0869171652</v>
      </c>
      <c r="AG24" s="28">
        <f t="shared" si="8"/>
        <v>1030311.8681924263</v>
      </c>
      <c r="AH24" s="28">
        <f t="shared" si="8"/>
        <v>1357985.3949948989</v>
      </c>
      <c r="AI24" s="28">
        <f t="shared" ref="AI24:BA24" si="9">SUM(AI21:AI23)</f>
        <v>1562538.0853437192</v>
      </c>
      <c r="AJ24" s="28">
        <f t="shared" si="9"/>
        <v>1380420.4142798455</v>
      </c>
      <c r="AK24" s="28">
        <f t="shared" si="9"/>
        <v>1569761.0760832233</v>
      </c>
      <c r="AL24" s="28">
        <f t="shared" si="9"/>
        <v>1804465.4558683506</v>
      </c>
      <c r="AM24" s="28">
        <f t="shared" si="9"/>
        <v>1520848.8169043448</v>
      </c>
      <c r="AN24" s="28">
        <f t="shared" si="9"/>
        <v>1679764.2813100931</v>
      </c>
      <c r="AO24" s="28">
        <f t="shared" si="9"/>
        <v>1899536.9224000515</v>
      </c>
      <c r="AP24" s="28">
        <f t="shared" si="9"/>
        <v>1927180.9163795463</v>
      </c>
      <c r="AQ24" s="28">
        <f t="shared" si="9"/>
        <v>2190603.7534151538</v>
      </c>
      <c r="AR24" s="28">
        <f t="shared" si="9"/>
        <v>2478524.7873557229</v>
      </c>
      <c r="AS24" s="28">
        <f t="shared" si="9"/>
        <v>2459680.9401779026</v>
      </c>
      <c r="AT24" s="28">
        <f t="shared" si="9"/>
        <v>2816079.6256817328</v>
      </c>
      <c r="AU24" s="28">
        <f t="shared" si="9"/>
        <v>3051484.453336888</v>
      </c>
      <c r="AV24" s="28">
        <f t="shared" si="9"/>
        <v>2952469.0879321876</v>
      </c>
      <c r="AW24" s="28">
        <f t="shared" si="9"/>
        <v>3168681.8474562881</v>
      </c>
      <c r="AX24" s="28">
        <f t="shared" si="9"/>
        <v>3432110.6441667923</v>
      </c>
      <c r="AY24" s="28">
        <f t="shared" si="9"/>
        <v>3217629.3209248516</v>
      </c>
      <c r="AZ24" s="28">
        <f t="shared" si="9"/>
        <v>3401563.8496548324</v>
      </c>
      <c r="BA24" s="28">
        <f t="shared" si="9"/>
        <v>3650060.3831636198</v>
      </c>
    </row>
    <row r="25" spans="1:53" ht="12.75" customHeight="1" x14ac:dyDescent="0.25">
      <c r="B25" s="45"/>
    </row>
    <row r="26" spans="1:53" ht="12.75" customHeight="1" x14ac:dyDescent="0.25">
      <c r="B26" s="61"/>
    </row>
    <row r="27" spans="1:53" ht="12.75" customHeight="1" x14ac:dyDescent="0.35">
      <c r="A27" s="26" t="s">
        <v>210</v>
      </c>
      <c r="B27" s="61"/>
      <c r="C27" s="25">
        <f t="shared" ref="C27:AH27" si="10">C18-C24</f>
        <v>0</v>
      </c>
      <c r="D27" s="25">
        <f t="shared" si="10"/>
        <v>0</v>
      </c>
      <c r="E27" s="25">
        <f t="shared" si="10"/>
        <v>-334460.51142124506</v>
      </c>
      <c r="F27" s="25">
        <f t="shared" si="10"/>
        <v>-365961.04908791324</v>
      </c>
      <c r="G27" s="25">
        <f t="shared" si="10"/>
        <v>-341757.42775161564</v>
      </c>
      <c r="H27" s="25">
        <f t="shared" si="10"/>
        <v>-262248.4687366453</v>
      </c>
      <c r="I27" s="25">
        <f t="shared" si="10"/>
        <v>-102969.19877463952</v>
      </c>
      <c r="J27" s="25">
        <f t="shared" si="10"/>
        <v>56740.306606601458</v>
      </c>
      <c r="K27" s="25">
        <f t="shared" si="10"/>
        <v>67643.48319482198</v>
      </c>
      <c r="L27" s="25">
        <f t="shared" si="10"/>
        <v>93998.363205541624</v>
      </c>
      <c r="M27" s="25">
        <f t="shared" si="10"/>
        <v>90759.701894817641</v>
      </c>
      <c r="N27" s="25">
        <f t="shared" si="10"/>
        <v>140685.14357254142</v>
      </c>
      <c r="O27" s="25">
        <f t="shared" si="10"/>
        <v>-11828.264883718686</v>
      </c>
      <c r="P27" s="25">
        <f t="shared" si="10"/>
        <v>-43766.829514329322</v>
      </c>
      <c r="Q27" s="25">
        <f t="shared" si="10"/>
        <v>-15191.728762645973</v>
      </c>
      <c r="R27" s="25">
        <f t="shared" si="10"/>
        <v>43397.772040492389</v>
      </c>
      <c r="S27" s="25">
        <f t="shared" si="10"/>
        <v>136584.56279283739</v>
      </c>
      <c r="T27" s="25">
        <f t="shared" si="10"/>
        <v>290554.76173737738</v>
      </c>
      <c r="U27" s="25">
        <f t="shared" si="10"/>
        <v>539033.2105795641</v>
      </c>
      <c r="V27" s="25">
        <f t="shared" si="10"/>
        <v>787975.70760512585</v>
      </c>
      <c r="W27" s="25">
        <f t="shared" si="10"/>
        <v>865941.93879846996</v>
      </c>
      <c r="X27" s="25">
        <f t="shared" si="10"/>
        <v>961449.05896168528</v>
      </c>
      <c r="Y27" s="25">
        <f t="shared" si="10"/>
        <v>1023287.1448341478</v>
      </c>
      <c r="Z27" s="25">
        <f t="shared" si="10"/>
        <v>1140202.0092127379</v>
      </c>
      <c r="AA27" s="25">
        <f t="shared" si="10"/>
        <v>1015214.2550726705</v>
      </c>
      <c r="AB27" s="25">
        <f t="shared" si="10"/>
        <v>1061418.0286889512</v>
      </c>
      <c r="AC27" s="25">
        <f t="shared" si="10"/>
        <v>1159319.6277584583</v>
      </c>
      <c r="AD27" s="25">
        <f t="shared" si="10"/>
        <v>1300993.7275226598</v>
      </c>
      <c r="AE27" s="25">
        <f t="shared" si="10"/>
        <v>1482148.3938463475</v>
      </c>
      <c r="AF27" s="25">
        <f t="shared" si="10"/>
        <v>1704158.0952868625</v>
      </c>
      <c r="AG27" s="25">
        <f t="shared" si="10"/>
        <v>2022323.7390922573</v>
      </c>
      <c r="AH27" s="25">
        <f t="shared" si="10"/>
        <v>2340488.3242064519</v>
      </c>
      <c r="AI27" s="25">
        <f t="shared" ref="AI27:BA27" si="11">AI18-AI24</f>
        <v>2480598.9442742979</v>
      </c>
      <c r="AJ27" s="25">
        <f t="shared" si="11"/>
        <v>2639739.4161465694</v>
      </c>
      <c r="AK27" s="25">
        <f t="shared" si="11"/>
        <v>2760817.1303848587</v>
      </c>
      <c r="AL27" s="25">
        <f t="shared" si="11"/>
        <v>2941964.5052663982</v>
      </c>
      <c r="AM27" s="25">
        <f t="shared" si="11"/>
        <v>2872731.5012888014</v>
      </c>
      <c r="AN27" s="25">
        <f t="shared" si="11"/>
        <v>2955744.5441747191</v>
      </c>
      <c r="AO27" s="25">
        <f t="shared" si="11"/>
        <v>3114880.1478764275</v>
      </c>
      <c r="AP27" s="25">
        <f t="shared" si="11"/>
        <v>3316716.0160803297</v>
      </c>
      <c r="AQ27" s="25">
        <f t="shared" si="11"/>
        <v>3540173.6837113895</v>
      </c>
      <c r="AR27" s="25">
        <f t="shared" si="11"/>
        <v>3803121.586437488</v>
      </c>
      <c r="AS27" s="25">
        <f t="shared" si="11"/>
        <v>4163590.6281737061</v>
      </c>
      <c r="AT27" s="25">
        <f t="shared" si="11"/>
        <v>4524058.8045865428</v>
      </c>
      <c r="AU27" s="25">
        <f t="shared" si="11"/>
        <v>4709607.9810980549</v>
      </c>
      <c r="AV27" s="25">
        <f t="shared" si="11"/>
        <v>4915702.18888993</v>
      </c>
      <c r="AW27" s="25">
        <f t="shared" si="11"/>
        <v>5076354.0554074962</v>
      </c>
      <c r="AX27" s="25">
        <f t="shared" si="11"/>
        <v>5299805.7633636594</v>
      </c>
      <c r="AY27" s="25">
        <f t="shared" si="11"/>
        <v>5256497.2702427749</v>
      </c>
      <c r="AZ27" s="25">
        <f t="shared" si="11"/>
        <v>5376354.9988044612</v>
      </c>
      <c r="BA27" s="25">
        <f t="shared" si="11"/>
        <v>5577795.4600873403</v>
      </c>
    </row>
    <row r="28" spans="1:53" ht="12.75" customHeight="1" x14ac:dyDescent="0.25">
      <c r="B28" s="61"/>
    </row>
    <row r="29" spans="1:53" ht="12.75" customHeight="1" x14ac:dyDescent="0.25">
      <c r="B29" s="61"/>
    </row>
    <row r="30" spans="1:53" ht="15" customHeight="1" x14ac:dyDescent="0.35">
      <c r="A30" s="26" t="s">
        <v>211</v>
      </c>
      <c r="B30" s="61"/>
      <c r="C30" s="47">
        <f t="shared" ref="C30:AH30" si="12">C27+C12</f>
        <v>0</v>
      </c>
      <c r="D30" s="47">
        <f t="shared" si="12"/>
        <v>0</v>
      </c>
      <c r="E30" s="47">
        <f t="shared" si="12"/>
        <v>-334460.51142124506</v>
      </c>
      <c r="F30" s="47">
        <f t="shared" si="12"/>
        <v>-346294.38242124656</v>
      </c>
      <c r="G30" s="47">
        <f t="shared" si="12"/>
        <v>-322418.53886272677</v>
      </c>
      <c r="H30" s="47">
        <f t="shared" si="12"/>
        <v>-243231.89466257123</v>
      </c>
      <c r="I30" s="47">
        <f t="shared" si="12"/>
        <v>-84269.567601800009</v>
      </c>
      <c r="J30" s="47">
        <f t="shared" si="12"/>
        <v>75128.277259893643</v>
      </c>
      <c r="K30" s="47">
        <f t="shared" si="12"/>
        <v>85724.987670559291</v>
      </c>
      <c r="L30" s="47">
        <f t="shared" si="12"/>
        <v>111778.50927334998</v>
      </c>
      <c r="M30" s="47">
        <f t="shared" si="12"/>
        <v>108243.51219482919</v>
      </c>
      <c r="N30" s="47">
        <f t="shared" si="12"/>
        <v>157877.55703421944</v>
      </c>
      <c r="O30" s="47">
        <f t="shared" si="12"/>
        <v>5077.6083535980433</v>
      </c>
      <c r="P30" s="47">
        <f t="shared" si="12"/>
        <v>-27142.720830967872</v>
      </c>
      <c r="Q30" s="47">
        <f t="shared" si="12"/>
        <v>1155.311442659453</v>
      </c>
      <c r="R30" s="47">
        <f t="shared" si="12"/>
        <v>59472.361575709394</v>
      </c>
      <c r="S30" s="47">
        <f t="shared" si="12"/>
        <v>152391.24250246744</v>
      </c>
      <c r="T30" s="47">
        <f t="shared" si="12"/>
        <v>306097.99678518029</v>
      </c>
      <c r="U30" s="47">
        <f t="shared" si="12"/>
        <v>554317.3917099036</v>
      </c>
      <c r="V30" s="47">
        <f t="shared" si="12"/>
        <v>803005.15238329303</v>
      </c>
      <c r="W30" s="47">
        <f t="shared" si="12"/>
        <v>880720.89283033437</v>
      </c>
      <c r="X30" s="47">
        <f t="shared" si="12"/>
        <v>975981.69709301856</v>
      </c>
      <c r="Y30" s="47">
        <f t="shared" si="12"/>
        <v>1037577.5723299589</v>
      </c>
      <c r="Z30" s="47">
        <f t="shared" si="12"/>
        <v>1154254.2629169521</v>
      </c>
      <c r="AA30" s="47">
        <f t="shared" si="12"/>
        <v>1029032.3045484812</v>
      </c>
      <c r="AB30" s="47">
        <f t="shared" si="12"/>
        <v>1075005.7773401651</v>
      </c>
      <c r="AC30" s="47">
        <f t="shared" si="12"/>
        <v>1172680.9139321519</v>
      </c>
      <c r="AD30" s="47">
        <f t="shared" si="12"/>
        <v>1314132.3255934585</v>
      </c>
      <c r="AE30" s="47">
        <f t="shared" si="12"/>
        <v>1495068.0152826328</v>
      </c>
      <c r="AF30" s="47">
        <f t="shared" si="12"/>
        <v>1716862.3896992097</v>
      </c>
      <c r="AG30" s="47">
        <f t="shared" si="12"/>
        <v>2034816.2952643989</v>
      </c>
      <c r="AH30" s="47">
        <f t="shared" si="12"/>
        <v>2352772.6711090575</v>
      </c>
      <c r="AI30" s="47">
        <f t="shared" ref="AI30:BA30" si="13">AI27+AI12</f>
        <v>2492678.5520618604</v>
      </c>
      <c r="AJ30" s="47">
        <f t="shared" si="13"/>
        <v>2651617.6971376725</v>
      </c>
      <c r="AK30" s="47">
        <f t="shared" si="13"/>
        <v>2772497.44002611</v>
      </c>
      <c r="AL30" s="47">
        <f t="shared" si="13"/>
        <v>2953450.1430802955</v>
      </c>
      <c r="AM30" s="47">
        <f t="shared" si="13"/>
        <v>2884025.7118058004</v>
      </c>
      <c r="AN30" s="47">
        <f t="shared" si="13"/>
        <v>2966850.517849768</v>
      </c>
      <c r="AO30" s="47">
        <f t="shared" si="13"/>
        <v>3125801.0219902257</v>
      </c>
      <c r="AP30" s="47">
        <f t="shared" si="13"/>
        <v>3327454.8756255643</v>
      </c>
      <c r="AQ30" s="47">
        <f t="shared" si="13"/>
        <v>3550733.5622642036</v>
      </c>
      <c r="AR30" s="47">
        <f t="shared" si="13"/>
        <v>3813505.4670144217</v>
      </c>
      <c r="AS30" s="47">
        <f t="shared" si="13"/>
        <v>4173801.4440743579</v>
      </c>
      <c r="AT30" s="47">
        <f t="shared" si="13"/>
        <v>4534099.4402221832</v>
      </c>
      <c r="AU30" s="47">
        <f t="shared" si="13"/>
        <v>4719481.2728064349</v>
      </c>
      <c r="AV30" s="47">
        <f t="shared" si="13"/>
        <v>4925410.9257365037</v>
      </c>
      <c r="AW30" s="47">
        <f t="shared" si="13"/>
        <v>5085900.9799732938</v>
      </c>
      <c r="AX30" s="47">
        <f t="shared" si="13"/>
        <v>5309193.5725200269</v>
      </c>
      <c r="AY30" s="47">
        <f t="shared" si="13"/>
        <v>5265728.615913203</v>
      </c>
      <c r="AZ30" s="47">
        <f t="shared" si="13"/>
        <v>5385432.4887137152</v>
      </c>
      <c r="BA30" s="47">
        <f t="shared" si="13"/>
        <v>5586721.6584981075</v>
      </c>
    </row>
    <row r="31" spans="1:53" ht="12.75" customHeight="1" x14ac:dyDescent="0.25">
      <c r="B31" s="61"/>
    </row>
    <row r="32" spans="1:53" ht="12.75" customHeight="1" x14ac:dyDescent="0.25"/>
    <row r="33" spans="1:53" ht="12.75" customHeight="1" x14ac:dyDescent="0.35">
      <c r="B33" s="27" t="s">
        <v>212</v>
      </c>
      <c r="C33" s="25">
        <f>'Cashflow Workings'!C8</f>
        <v>0</v>
      </c>
      <c r="D33" s="25">
        <f>C33+'Cashflow Workings'!D8</f>
        <v>0</v>
      </c>
      <c r="E33" s="25">
        <f>'Cashflow Workings'!E8</f>
        <v>100000</v>
      </c>
      <c r="F33" s="25">
        <f>E33</f>
        <v>100000</v>
      </c>
      <c r="G33" s="25">
        <f>F33+'Cashflow Workings'!G8</f>
        <v>100000</v>
      </c>
      <c r="H33" s="25">
        <f>G33+'Cashflow Workings'!H8</f>
        <v>100000</v>
      </c>
      <c r="I33" s="25">
        <f>H33+'Cashflow Workings'!I8</f>
        <v>100000</v>
      </c>
      <c r="J33" s="25">
        <f>I33+'Cashflow Workings'!J8</f>
        <v>100000</v>
      </c>
      <c r="K33" s="25">
        <f>J33+'Cashflow Workings'!K8</f>
        <v>100000</v>
      </c>
      <c r="L33" s="25">
        <f>K33+'Cashflow Workings'!L8</f>
        <v>100000</v>
      </c>
      <c r="M33" s="25">
        <f>L33+'Cashflow Workings'!M8</f>
        <v>100000</v>
      </c>
      <c r="N33" s="25">
        <f>M33+'Cashflow Workings'!N8</f>
        <v>100000</v>
      </c>
      <c r="O33" s="25">
        <f>N33+'Cashflow Workings'!O8</f>
        <v>100000</v>
      </c>
      <c r="P33" s="25">
        <f>O33+'Cashflow Workings'!P8</f>
        <v>100000</v>
      </c>
      <c r="Q33" s="25">
        <f>P33+'Cashflow Workings'!Q8</f>
        <v>100000</v>
      </c>
      <c r="R33" s="25">
        <f>Q33+'Cashflow Workings'!R8</f>
        <v>100000</v>
      </c>
      <c r="S33" s="25">
        <f>R33+'Cashflow Workings'!S8</f>
        <v>100000</v>
      </c>
      <c r="T33" s="25">
        <f>S33+'Cashflow Workings'!T8</f>
        <v>100000</v>
      </c>
      <c r="U33" s="25">
        <f>T33+'Cashflow Workings'!U8</f>
        <v>100000</v>
      </c>
      <c r="V33" s="25">
        <f>U33+'Cashflow Workings'!V8</f>
        <v>100000</v>
      </c>
      <c r="W33" s="25">
        <f>V33+'Cashflow Workings'!W8</f>
        <v>100000</v>
      </c>
      <c r="X33" s="25">
        <f>W33+'Cashflow Workings'!X8</f>
        <v>100000</v>
      </c>
      <c r="Y33" s="25">
        <f>X33+'Cashflow Workings'!Y8</f>
        <v>100000</v>
      </c>
      <c r="Z33" s="25">
        <f>Y33+'Cashflow Workings'!Z8</f>
        <v>100000</v>
      </c>
      <c r="AA33" s="25">
        <f>Z33+'Cashflow Workings'!AA8</f>
        <v>100000</v>
      </c>
      <c r="AB33" s="25">
        <f>AA33+'Cashflow Workings'!AB8</f>
        <v>100000</v>
      </c>
      <c r="AC33" s="25">
        <f>AB33+'Cashflow Workings'!AC8</f>
        <v>100000</v>
      </c>
      <c r="AD33" s="25">
        <f>AC33+'Cashflow Workings'!AD8</f>
        <v>100000</v>
      </c>
      <c r="AE33" s="25">
        <f>AD33+'Cashflow Workings'!AE8</f>
        <v>100000</v>
      </c>
      <c r="AF33" s="25">
        <f>AE33+'Cashflow Workings'!AF8</f>
        <v>100000</v>
      </c>
      <c r="AG33" s="25">
        <f>AF33+'Cashflow Workings'!AG8</f>
        <v>100000</v>
      </c>
      <c r="AH33" s="25">
        <f>AG33+'Cashflow Workings'!AH8</f>
        <v>100000</v>
      </c>
      <c r="AI33" s="25">
        <f>AH33+'Cashflow Workings'!AI8</f>
        <v>100000</v>
      </c>
      <c r="AJ33" s="25">
        <f>AI33+'Cashflow Workings'!AJ8</f>
        <v>100000</v>
      </c>
      <c r="AK33" s="25">
        <f>AJ33+'Cashflow Workings'!AK8</f>
        <v>100000</v>
      </c>
      <c r="AL33" s="25">
        <f>AK33+'Cashflow Workings'!AL8</f>
        <v>100000</v>
      </c>
      <c r="AM33" s="25">
        <f>AL33+'Cashflow Workings'!AM8</f>
        <v>100000</v>
      </c>
      <c r="AN33" s="25">
        <f>AM33+'Cashflow Workings'!AN8</f>
        <v>100000</v>
      </c>
      <c r="AO33" s="25">
        <f>AN33+'Cashflow Workings'!AO8</f>
        <v>100000</v>
      </c>
      <c r="AP33" s="25">
        <f>AO33+'Cashflow Workings'!AP8</f>
        <v>100000</v>
      </c>
      <c r="AQ33" s="25">
        <f>AP33+'Cashflow Workings'!AQ8</f>
        <v>100000</v>
      </c>
      <c r="AR33" s="25">
        <f>AQ33+'Cashflow Workings'!AR8</f>
        <v>100000</v>
      </c>
      <c r="AS33" s="25">
        <f>AR33+'Cashflow Workings'!AS8</f>
        <v>100000</v>
      </c>
      <c r="AT33" s="25">
        <f>AS33+'Cashflow Workings'!AT8</f>
        <v>100000</v>
      </c>
      <c r="AU33" s="25">
        <f>AT33+'Cashflow Workings'!AU8</f>
        <v>100000</v>
      </c>
      <c r="AV33" s="25">
        <f>AU33+'Cashflow Workings'!AV8</f>
        <v>100000</v>
      </c>
      <c r="AW33" s="25">
        <f>AV33+'Cashflow Workings'!AW8</f>
        <v>100000</v>
      </c>
      <c r="AX33" s="25">
        <f>AW33+'Cashflow Workings'!AX8</f>
        <v>100000</v>
      </c>
      <c r="AY33" s="25">
        <f>AX33+'Cashflow Workings'!AY8</f>
        <v>100000</v>
      </c>
      <c r="AZ33" s="25">
        <f>AY33+'Cashflow Workings'!AZ8</f>
        <v>100000</v>
      </c>
      <c r="BA33" s="25">
        <f>AZ33+'Cashflow Workings'!BA8</f>
        <v>100000</v>
      </c>
    </row>
    <row r="34" spans="1:53" ht="12.75" customHeight="1" x14ac:dyDescent="0.25"/>
    <row r="35" spans="1:53" ht="12.75" customHeight="1" x14ac:dyDescent="0.35">
      <c r="B35" s="71" t="s">
        <v>213</v>
      </c>
      <c r="C35" s="25">
        <f>P_L!C80</f>
        <v>0</v>
      </c>
      <c r="D35" s="25">
        <f>C35+P_L!D80</f>
        <v>0</v>
      </c>
      <c r="E35" s="25">
        <f>D35+P_L!E80</f>
        <v>-426103.36856410257</v>
      </c>
      <c r="F35" s="25">
        <f>E35+P_L!F80</f>
        <v>-437937.23956410389</v>
      </c>
      <c r="G35" s="25">
        <f>F35+P_L!G80</f>
        <v>-414061.39600558463</v>
      </c>
      <c r="H35" s="25">
        <f>G35+P_L!H80</f>
        <v>-334874.75180542917</v>
      </c>
      <c r="I35" s="25">
        <f>H35+P_L!I80</f>
        <v>-175912.42474465817</v>
      </c>
      <c r="J35" s="25">
        <f>I35+P_L!J80</f>
        <v>-16514.579882964725</v>
      </c>
      <c r="K35" s="25">
        <f>J35+P_L!K80</f>
        <v>-5917.8694722990967</v>
      </c>
      <c r="L35" s="25">
        <f>K35+P_L!L80</f>
        <v>20135.652130491704</v>
      </c>
      <c r="M35" s="25">
        <f>L35+P_L!M80</f>
        <v>16600.655051970713</v>
      </c>
      <c r="N35" s="25">
        <f>M35+P_L!N80</f>
        <v>66234.699891360913</v>
      </c>
      <c r="O35" s="25">
        <f>N35+P_L!O80</f>
        <v>-86565.248789260717</v>
      </c>
      <c r="P35" s="25">
        <f>O35+P_L!P80</f>
        <v>-118785.57797382656</v>
      </c>
      <c r="Q35" s="25">
        <f>P35+P_L!Q80</f>
        <v>-90487.545700199276</v>
      </c>
      <c r="R35" s="25">
        <f>Q35+P_L!R80</f>
        <v>-32170.49556714925</v>
      </c>
      <c r="S35" s="25">
        <f>R35+P_L!S80</f>
        <v>60748.385359608626</v>
      </c>
      <c r="T35" s="25">
        <f>S35+P_L!T80</f>
        <v>214455.13964232121</v>
      </c>
      <c r="U35" s="25">
        <f>T35+P_L!U80</f>
        <v>462674.5345670447</v>
      </c>
      <c r="V35" s="25">
        <f>U35+P_L!V80</f>
        <v>711362.29524043389</v>
      </c>
      <c r="W35" s="25">
        <f>V35+P_L!W80</f>
        <v>789078.03568747465</v>
      </c>
      <c r="X35" s="25">
        <f>W35+P_L!X80</f>
        <v>884338.83995015861</v>
      </c>
      <c r="Y35" s="25">
        <f>X35+P_L!Y80</f>
        <v>945934.71518709906</v>
      </c>
      <c r="Z35" s="25">
        <f>Y35+P_L!Z80</f>
        <v>1062611.4057740921</v>
      </c>
      <c r="AA35" s="25">
        <f>Z35+P_L!AA80</f>
        <v>937389.44740562083</v>
      </c>
      <c r="AB35" s="25">
        <f>AA35+P_L!AB80</f>
        <v>983362.92019730422</v>
      </c>
      <c r="AC35" s="25">
        <f>AB35+P_L!AC80</f>
        <v>1081038.0567892909</v>
      </c>
      <c r="AD35" s="25">
        <f>AC35+P_L!AD80</f>
        <v>1222489.4684505977</v>
      </c>
      <c r="AE35" s="25">
        <f>AD35+P_L!AE80</f>
        <v>1403425.1581397718</v>
      </c>
      <c r="AF35" s="25">
        <f>AE35+P_L!AF80</f>
        <v>1625219.5325563487</v>
      </c>
      <c r="AG35" s="25">
        <f>AF35+P_L!AG80</f>
        <v>1943173.4381215381</v>
      </c>
      <c r="AH35" s="25">
        <f>AG35+P_L!AH80</f>
        <v>2261129.8139661965</v>
      </c>
      <c r="AI35" s="25">
        <f>AH35+P_L!AI80</f>
        <v>2401035.6949189994</v>
      </c>
      <c r="AJ35" s="25">
        <f>AI35+P_L!AJ80</f>
        <v>2559974.8399948115</v>
      </c>
      <c r="AK35" s="25">
        <f>AJ35+P_L!AK80</f>
        <v>2680854.5828832486</v>
      </c>
      <c r="AL35" s="25">
        <f>AK35+P_L!AL80</f>
        <v>2861807.2859374341</v>
      </c>
      <c r="AM35" s="25">
        <f>AL35+P_L!AM80</f>
        <v>2792382.8546629385</v>
      </c>
      <c r="AN35" s="25">
        <f>AM35+P_L!AN80</f>
        <v>2875207.660706907</v>
      </c>
      <c r="AO35" s="25">
        <f>AN35+P_L!AO80</f>
        <v>3034158.1648473651</v>
      </c>
      <c r="AP35" s="25">
        <f>AO35+P_L!AP80</f>
        <v>3235812.0184827042</v>
      </c>
      <c r="AQ35" s="25">
        <f>AP35+P_L!AQ80</f>
        <v>3459090.705121343</v>
      </c>
      <c r="AR35" s="25">
        <f>AQ35+P_L!AR80</f>
        <v>3721862.6098715602</v>
      </c>
      <c r="AS35" s="25">
        <f>AR35+P_L!AS80</f>
        <v>4082158.5869314959</v>
      </c>
      <c r="AT35" s="25">
        <f>AS35+P_L!AT80</f>
        <v>4442456.5830793222</v>
      </c>
      <c r="AU35" s="25">
        <f>AT35+P_L!AU80</f>
        <v>4627838.415663573</v>
      </c>
      <c r="AV35" s="25">
        <f>AU35+P_L!AV80</f>
        <v>4833768.0685936417</v>
      </c>
      <c r="AW35" s="25">
        <f>AV35+P_L!AW80</f>
        <v>4994258.1228304319</v>
      </c>
      <c r="AX35" s="25">
        <f>AW35+P_L!AX80</f>
        <v>5217550.7153771641</v>
      </c>
      <c r="AY35" s="25">
        <f>AX35+P_L!AY80</f>
        <v>5174085.7587703401</v>
      </c>
      <c r="AZ35" s="25">
        <f>AY35+P_L!AZ80</f>
        <v>5293789.6315708524</v>
      </c>
      <c r="BA35" s="25">
        <f>AZ35+P_L!BA80</f>
        <v>5495078.8013552446</v>
      </c>
    </row>
    <row r="36" spans="1:53" ht="12.75" customHeight="1" x14ac:dyDescent="0.25"/>
    <row r="37" spans="1:53" ht="14.25" customHeight="1" x14ac:dyDescent="0.35">
      <c r="A37" s="26" t="s">
        <v>214</v>
      </c>
      <c r="C37" s="47">
        <f t="shared" ref="C37:AH37" si="14">SUM(C33:C35)</f>
        <v>0</v>
      </c>
      <c r="D37" s="47">
        <f t="shared" si="14"/>
        <v>0</v>
      </c>
      <c r="E37" s="47">
        <f t="shared" si="14"/>
        <v>-326103.36856410257</v>
      </c>
      <c r="F37" s="47">
        <f t="shared" si="14"/>
        <v>-337937.23956410389</v>
      </c>
      <c r="G37" s="47">
        <f t="shared" si="14"/>
        <v>-314061.39600558463</v>
      </c>
      <c r="H37" s="47">
        <f t="shared" si="14"/>
        <v>-234874.75180542917</v>
      </c>
      <c r="I37" s="47">
        <f t="shared" si="14"/>
        <v>-75912.424744658172</v>
      </c>
      <c r="J37" s="47">
        <f t="shared" si="14"/>
        <v>83485.420117035275</v>
      </c>
      <c r="K37" s="47">
        <f t="shared" si="14"/>
        <v>94082.130527700909</v>
      </c>
      <c r="L37" s="47">
        <f t="shared" si="14"/>
        <v>120135.65213049171</v>
      </c>
      <c r="M37" s="47">
        <f t="shared" si="14"/>
        <v>116600.65505197071</v>
      </c>
      <c r="N37" s="47">
        <f t="shared" si="14"/>
        <v>166234.69989136091</v>
      </c>
      <c r="O37" s="47">
        <f t="shared" si="14"/>
        <v>13434.751210739283</v>
      </c>
      <c r="P37" s="47">
        <f t="shared" si="14"/>
        <v>-18785.577973826556</v>
      </c>
      <c r="Q37" s="47">
        <f t="shared" si="14"/>
        <v>9512.4542998007237</v>
      </c>
      <c r="R37" s="47">
        <f t="shared" si="14"/>
        <v>67829.50443285075</v>
      </c>
      <c r="S37" s="47">
        <f t="shared" si="14"/>
        <v>160748.38535960863</v>
      </c>
      <c r="T37" s="47">
        <f t="shared" si="14"/>
        <v>314455.13964232121</v>
      </c>
      <c r="U37" s="47">
        <f t="shared" si="14"/>
        <v>562674.5345670447</v>
      </c>
      <c r="V37" s="47">
        <f t="shared" si="14"/>
        <v>811362.29524043389</v>
      </c>
      <c r="W37" s="47">
        <f t="shared" si="14"/>
        <v>889078.03568747465</v>
      </c>
      <c r="X37" s="47">
        <f t="shared" si="14"/>
        <v>984338.83995015861</v>
      </c>
      <c r="Y37" s="47">
        <f t="shared" si="14"/>
        <v>1045934.7151870991</v>
      </c>
      <c r="Z37" s="47">
        <f t="shared" si="14"/>
        <v>1162611.4057740921</v>
      </c>
      <c r="AA37" s="47">
        <f t="shared" si="14"/>
        <v>1037389.4474056208</v>
      </c>
      <c r="AB37" s="47">
        <f t="shared" si="14"/>
        <v>1083362.9201973043</v>
      </c>
      <c r="AC37" s="47">
        <f t="shared" si="14"/>
        <v>1181038.0567892909</v>
      </c>
      <c r="AD37" s="47">
        <f t="shared" si="14"/>
        <v>1322489.4684505977</v>
      </c>
      <c r="AE37" s="47">
        <f t="shared" si="14"/>
        <v>1503425.1581397718</v>
      </c>
      <c r="AF37" s="47">
        <f t="shared" si="14"/>
        <v>1725219.5325563487</v>
      </c>
      <c r="AG37" s="47">
        <f t="shared" si="14"/>
        <v>2043173.4381215381</v>
      </c>
      <c r="AH37" s="47">
        <f t="shared" si="14"/>
        <v>2361129.8139661965</v>
      </c>
      <c r="AI37" s="47">
        <f t="shared" ref="AI37:BA37" si="15">SUM(AI33:AI35)</f>
        <v>2501035.6949189994</v>
      </c>
      <c r="AJ37" s="47">
        <f t="shared" si="15"/>
        <v>2659974.8399948115</v>
      </c>
      <c r="AK37" s="47">
        <f t="shared" si="15"/>
        <v>2780854.5828832486</v>
      </c>
      <c r="AL37" s="47">
        <f t="shared" si="15"/>
        <v>2961807.2859374341</v>
      </c>
      <c r="AM37" s="47">
        <f t="shared" si="15"/>
        <v>2892382.8546629385</v>
      </c>
      <c r="AN37" s="47">
        <f t="shared" si="15"/>
        <v>2975207.660706907</v>
      </c>
      <c r="AO37" s="47">
        <f t="shared" si="15"/>
        <v>3134158.1648473651</v>
      </c>
      <c r="AP37" s="47">
        <f t="shared" si="15"/>
        <v>3335812.0184827042</v>
      </c>
      <c r="AQ37" s="47">
        <f t="shared" si="15"/>
        <v>3559090.705121343</v>
      </c>
      <c r="AR37" s="47">
        <f t="shared" si="15"/>
        <v>3821862.6098715602</v>
      </c>
      <c r="AS37" s="47">
        <f t="shared" si="15"/>
        <v>4182158.5869314959</v>
      </c>
      <c r="AT37" s="47">
        <f t="shared" si="15"/>
        <v>4542456.5830793222</v>
      </c>
      <c r="AU37" s="47">
        <f t="shared" si="15"/>
        <v>4727838.415663573</v>
      </c>
      <c r="AV37" s="47">
        <f t="shared" si="15"/>
        <v>4933768.0685936417</v>
      </c>
      <c r="AW37" s="47">
        <f t="shared" si="15"/>
        <v>5094258.1228304319</v>
      </c>
      <c r="AX37" s="47">
        <f t="shared" si="15"/>
        <v>5317550.7153771641</v>
      </c>
      <c r="AY37" s="47">
        <f t="shared" si="15"/>
        <v>5274085.7587703401</v>
      </c>
      <c r="AZ37" s="47">
        <f t="shared" si="15"/>
        <v>5393789.6315708524</v>
      </c>
      <c r="BA37" s="47">
        <f t="shared" si="15"/>
        <v>5595078.8013552446</v>
      </c>
    </row>
    <row r="38" spans="1:53" ht="12.75" customHeight="1" x14ac:dyDescent="0.25"/>
    <row r="39" spans="1:53" ht="12.75" customHeight="1" x14ac:dyDescent="0.25"/>
    <row r="40" spans="1:53" ht="12.75" customHeight="1" x14ac:dyDescent="0.25"/>
    <row r="41" spans="1:53" ht="12.75" customHeight="1" x14ac:dyDescent="0.25"/>
    <row r="42" spans="1:53" ht="12.75" customHeight="1" x14ac:dyDescent="0.25"/>
    <row r="43" spans="1:53" ht="12.75" customHeight="1" x14ac:dyDescent="0.25"/>
    <row r="44" spans="1:53" ht="12.75" customHeight="1" x14ac:dyDescent="0.25"/>
    <row r="45" spans="1:53" ht="12.75" customHeight="1" x14ac:dyDescent="0.25"/>
    <row r="46" spans="1:53" ht="12.75" customHeight="1" x14ac:dyDescent="0.25"/>
    <row r="47" spans="1:53" ht="12.75" customHeight="1" x14ac:dyDescent="0.25"/>
    <row r="48" spans="1:53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</sheetData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78"/>
  <sheetViews>
    <sheetView zoomScaleSheetLayoutView="75" workbookViewId="0"/>
  </sheetViews>
  <sheetFormatPr defaultColWidth="8" defaultRowHeight="10" x14ac:dyDescent="0.2"/>
  <cols>
    <col min="1" max="1" width="3.26953125" style="74" customWidth="1"/>
    <col min="2" max="2" width="9.7265625" style="75" customWidth="1"/>
    <col min="3" max="3" width="7.7265625" style="75" customWidth="1"/>
    <col min="4" max="4" width="10.54296875" style="75" customWidth="1"/>
    <col min="5" max="5" width="11.54296875" style="75" customWidth="1"/>
    <col min="6" max="6" width="3.26953125" style="75" customWidth="1"/>
    <col min="7" max="7" width="11.08984375" style="75" customWidth="1"/>
    <col min="8" max="8" width="11.54296875" style="75" customWidth="1"/>
    <col min="9" max="9" width="10" style="75" customWidth="1"/>
    <col min="10" max="10" width="9.7265625" style="75" customWidth="1"/>
    <col min="11" max="11" width="8.81640625" style="75" customWidth="1"/>
    <col min="12" max="12" width="2" style="75" customWidth="1"/>
    <col min="13" max="13" width="9.7265625" style="75" customWidth="1"/>
    <col min="14" max="14" width="2.7265625" style="75" customWidth="1"/>
    <col min="15" max="15" width="7.26953125" style="75" customWidth="1"/>
    <col min="16" max="16" width="4.08984375" style="75" customWidth="1"/>
    <col min="17" max="16384" width="8" style="75"/>
  </cols>
  <sheetData>
    <row r="1" spans="1:17" ht="9.75" customHeight="1" x14ac:dyDescent="0.35">
      <c r="A1" s="208" t="s">
        <v>240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  <c r="N1" s="78"/>
      <c r="O1" s="79"/>
    </row>
    <row r="2" spans="1:17" ht="16" customHeight="1" x14ac:dyDescent="0.35">
      <c r="A2" s="80" t="s">
        <v>215</v>
      </c>
      <c r="B2" s="81"/>
      <c r="C2" s="82"/>
      <c r="D2" s="83"/>
      <c r="E2" s="83"/>
      <c r="F2" s="83"/>
      <c r="G2" s="83"/>
      <c r="H2" s="83"/>
      <c r="I2" s="83"/>
      <c r="J2" s="84" t="s">
        <v>216</v>
      </c>
      <c r="K2" s="85"/>
      <c r="L2" s="83"/>
      <c r="M2" s="83"/>
      <c r="N2" s="84"/>
      <c r="O2" s="86"/>
    </row>
    <row r="3" spans="1:17" ht="16" customHeight="1" x14ac:dyDescent="0.35">
      <c r="A3" s="80" t="s">
        <v>217</v>
      </c>
      <c r="B3" s="81"/>
      <c r="C3" s="87"/>
      <c r="D3" s="88"/>
      <c r="E3" s="88"/>
      <c r="F3" s="88"/>
      <c r="G3" s="88"/>
      <c r="H3" s="88"/>
      <c r="I3" s="88"/>
      <c r="J3" s="84" t="s">
        <v>218</v>
      </c>
      <c r="K3" s="89"/>
      <c r="L3" s="88"/>
      <c r="M3" s="88"/>
      <c r="N3" s="84"/>
      <c r="O3" s="90"/>
    </row>
    <row r="4" spans="1:17" ht="16" customHeight="1" x14ac:dyDescent="0.25">
      <c r="A4" s="80" t="str">
        <f>IF(OR(DATE(YEAR(C4),MONTH(C4),DAY(C4))=DATE(YEAR(C3)+1,MONTH(C3),DAY(C3)-1),C3=""),"YEAR ENDED",IF(DATE(YEAR(C4),MONTH(C4),DAY(C4))=DATE(YEAR(C3),MONTH(C3)+3,DAY(C3)-1),"QTR ENDED","PERIOD ENDED"))</f>
        <v>YEAR ENDED</v>
      </c>
      <c r="B4" s="81"/>
      <c r="C4" s="87"/>
      <c r="D4" s="91"/>
      <c r="E4" s="91"/>
      <c r="F4" s="91"/>
      <c r="G4" s="91"/>
      <c r="H4" s="91"/>
      <c r="I4" s="91"/>
      <c r="J4" s="84" t="s">
        <v>219</v>
      </c>
      <c r="K4" s="92"/>
      <c r="L4" s="91"/>
      <c r="M4" s="88"/>
      <c r="N4" s="84"/>
      <c r="O4" s="93"/>
    </row>
    <row r="5" spans="1:17" ht="16" customHeight="1" x14ac:dyDescent="0.3">
      <c r="A5" s="80" t="s">
        <v>220</v>
      </c>
      <c r="B5" s="81"/>
      <c r="C5" s="94"/>
      <c r="D5" s="91"/>
      <c r="E5" s="91"/>
      <c r="F5" s="91"/>
      <c r="G5" s="91"/>
      <c r="H5" s="91"/>
      <c r="I5" s="91"/>
      <c r="J5" s="84" t="s">
        <v>221</v>
      </c>
      <c r="K5" s="95" t="s">
        <v>222</v>
      </c>
      <c r="L5" s="91"/>
      <c r="M5" s="87"/>
      <c r="N5" s="84"/>
      <c r="O5" s="96"/>
    </row>
    <row r="6" spans="1:17" ht="9.75" customHeight="1" x14ac:dyDescent="0.25">
      <c r="A6" s="97"/>
      <c r="B6" s="98"/>
      <c r="C6" s="99"/>
      <c r="D6" s="99"/>
      <c r="E6" s="99"/>
      <c r="F6" s="99"/>
      <c r="G6" s="99"/>
      <c r="H6" s="99"/>
      <c r="I6" s="99"/>
      <c r="J6" s="99"/>
      <c r="K6" s="100"/>
      <c r="L6" s="99"/>
      <c r="M6" s="101"/>
      <c r="N6" s="101"/>
      <c r="O6" s="102"/>
    </row>
    <row r="8" spans="1:17" s="105" customFormat="1" ht="10.5" x14ac:dyDescent="0.25">
      <c r="A8" s="103"/>
      <c r="B8" s="104"/>
      <c r="H8" s="106"/>
    </row>
    <row r="9" spans="1:17" s="106" customFormat="1" x14ac:dyDescent="0.2">
      <c r="A9" s="107"/>
      <c r="B9" s="108"/>
      <c r="C9" s="109"/>
      <c r="D9" s="109"/>
      <c r="E9" s="109"/>
      <c r="F9" s="110"/>
      <c r="H9" s="111"/>
      <c r="I9" s="112"/>
      <c r="J9" s="113"/>
      <c r="K9" s="109"/>
      <c r="L9" s="110"/>
      <c r="M9" s="111"/>
      <c r="N9" s="111"/>
    </row>
    <row r="10" spans="1:17" s="118" customFormat="1" ht="16.5" customHeight="1" x14ac:dyDescent="0.25">
      <c r="A10" s="114"/>
      <c r="B10" s="115" t="s">
        <v>223</v>
      </c>
      <c r="C10" s="114"/>
      <c r="D10" s="114"/>
      <c r="E10" s="116">
        <v>2500000</v>
      </c>
      <c r="F10" s="117"/>
      <c r="H10" s="119"/>
      <c r="I10" s="120" t="s">
        <v>224</v>
      </c>
      <c r="J10" s="121"/>
      <c r="K10" s="122">
        <f>+zTotal_Payments_27/12</f>
        <v>2</v>
      </c>
      <c r="L10" s="123"/>
      <c r="M10" s="119"/>
      <c r="N10" s="119"/>
    </row>
    <row r="11" spans="1:17" s="118" customFormat="1" x14ac:dyDescent="0.25">
      <c r="A11" s="114"/>
      <c r="B11" s="115"/>
      <c r="C11" s="114"/>
      <c r="D11" s="114"/>
      <c r="E11" s="124"/>
      <c r="F11" s="117"/>
      <c r="H11" s="119"/>
      <c r="I11" s="125"/>
      <c r="J11" s="126"/>
      <c r="K11" s="119"/>
      <c r="L11" s="127"/>
      <c r="M11" s="119"/>
      <c r="N11" s="119"/>
    </row>
    <row r="12" spans="1:17" s="118" customFormat="1" ht="16.5" customHeight="1" x14ac:dyDescent="0.2">
      <c r="A12" s="114"/>
      <c r="B12" s="115" t="s">
        <v>225</v>
      </c>
      <c r="C12" s="114"/>
      <c r="D12" s="114"/>
      <c r="E12" s="128">
        <v>24</v>
      </c>
      <c r="F12" s="117"/>
      <c r="I12" s="129" t="s">
        <v>226</v>
      </c>
      <c r="J12" s="121"/>
      <c r="K12" s="130">
        <f>-PMT($E$14/12,zTotal_Payments_27,$E$10)</f>
        <v>112498.98162906134</v>
      </c>
      <c r="L12" s="123"/>
      <c r="M12" s="119"/>
      <c r="N12" s="75"/>
      <c r="O12" s="75"/>
    </row>
    <row r="13" spans="1:17" s="118" customFormat="1" x14ac:dyDescent="0.25">
      <c r="A13" s="114"/>
      <c r="B13" s="115"/>
      <c r="C13" s="114"/>
      <c r="D13" s="114"/>
      <c r="E13" s="124"/>
      <c r="F13" s="131"/>
      <c r="I13" s="125"/>
      <c r="J13" s="126"/>
      <c r="K13" s="119"/>
      <c r="L13" s="127"/>
      <c r="M13" s="119"/>
      <c r="N13" s="119"/>
    </row>
    <row r="14" spans="1:17" s="118" customFormat="1" ht="16.5" customHeight="1" x14ac:dyDescent="0.25">
      <c r="A14" s="114"/>
      <c r="B14" s="115" t="s">
        <v>227</v>
      </c>
      <c r="C14" s="114"/>
      <c r="D14" s="114"/>
      <c r="E14" s="132">
        <v>7.4999999999999997E-2</v>
      </c>
      <c r="F14" s="131"/>
      <c r="I14" s="133" t="s">
        <v>228</v>
      </c>
      <c r="J14" s="134"/>
      <c r="K14" s="135">
        <f>DATE(YEAR(E16),MONTH(E16)+E12-1,DAY(E16))</f>
        <v>39508</v>
      </c>
      <c r="L14" s="123"/>
      <c r="M14" s="119"/>
      <c r="N14" s="119"/>
    </row>
    <row r="15" spans="1:17" s="118" customFormat="1" x14ac:dyDescent="0.2">
      <c r="A15" s="114"/>
      <c r="B15" s="115"/>
      <c r="C15" s="114"/>
      <c r="D15" s="114"/>
      <c r="E15" s="124"/>
      <c r="F15" s="131"/>
      <c r="I15" s="136"/>
      <c r="J15" s="137"/>
      <c r="K15" s="138"/>
      <c r="L15" s="127"/>
      <c r="M15" s="119"/>
      <c r="N15" s="119"/>
    </row>
    <row r="16" spans="1:17" s="118" customFormat="1" ht="16.5" customHeight="1" x14ac:dyDescent="0.25">
      <c r="A16" s="114"/>
      <c r="B16" s="125" t="s">
        <v>229</v>
      </c>
      <c r="C16" s="114"/>
      <c r="D16" s="114"/>
      <c r="E16" s="139">
        <v>38808</v>
      </c>
      <c r="F16" s="117"/>
      <c r="I16" s="140" t="s">
        <v>230</v>
      </c>
      <c r="J16" s="141"/>
      <c r="K16" s="142">
        <f>+(K17+1)^12-1</f>
        <v>7.7632598856008261E-2</v>
      </c>
      <c r="L16" s="143"/>
      <c r="M16" s="144"/>
      <c r="N16" s="144"/>
      <c r="Q16" s="145"/>
    </row>
    <row r="17" spans="1:15" s="118" customFormat="1" ht="16.5" customHeight="1" x14ac:dyDescent="0.2">
      <c r="A17" s="114"/>
      <c r="B17" s="125"/>
      <c r="C17" s="114"/>
      <c r="D17" s="114"/>
      <c r="E17" s="146"/>
      <c r="F17" s="117"/>
      <c r="I17" s="147" t="s">
        <v>231</v>
      </c>
      <c r="J17" s="148"/>
      <c r="K17" s="149">
        <f>RATE(zTotal_Payments_27,-K12,E10)</f>
        <v>6.2499999999982457E-3</v>
      </c>
      <c r="L17" s="150"/>
      <c r="M17" s="75"/>
      <c r="N17" s="75"/>
      <c r="O17" s="151"/>
    </row>
    <row r="18" spans="1:15" s="118" customFormat="1" x14ac:dyDescent="0.2">
      <c r="A18" s="114"/>
      <c r="B18" s="152"/>
      <c r="C18" s="153"/>
      <c r="D18" s="153"/>
      <c r="E18" s="154"/>
      <c r="F18" s="155"/>
      <c r="I18" s="156"/>
      <c r="J18" s="157"/>
      <c r="K18" s="157"/>
      <c r="L18" s="158"/>
      <c r="M18" s="75"/>
      <c r="N18" s="75"/>
    </row>
    <row r="19" spans="1:15" s="118" customFormat="1" x14ac:dyDescent="0.2">
      <c r="A19" s="114"/>
      <c r="B19" s="114"/>
      <c r="C19" s="114"/>
      <c r="D19" s="114"/>
      <c r="E19" s="75"/>
      <c r="F19" s="124"/>
      <c r="G19" s="124"/>
      <c r="H19" s="119"/>
      <c r="J19" s="126"/>
      <c r="K19" s="114"/>
      <c r="L19" s="114"/>
      <c r="M19" s="119"/>
      <c r="N19" s="119"/>
    </row>
    <row r="20" spans="1:15" s="106" customFormat="1" x14ac:dyDescent="0.2">
      <c r="A20" s="107"/>
      <c r="B20" s="107"/>
      <c r="C20" s="107"/>
      <c r="D20" s="107"/>
      <c r="E20" s="107"/>
      <c r="F20" s="107"/>
      <c r="G20" s="107"/>
      <c r="H20" s="111"/>
      <c r="I20" s="159"/>
      <c r="J20" s="111"/>
      <c r="K20" s="160"/>
      <c r="L20" s="160"/>
      <c r="M20" s="111"/>
      <c r="N20" s="111"/>
    </row>
    <row r="21" spans="1:15" s="106" customFormat="1" ht="3.75" customHeight="1" x14ac:dyDescent="0.2">
      <c r="A21" s="161"/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3"/>
    </row>
    <row r="22" spans="1:15" s="106" customFormat="1" x14ac:dyDescent="0.2">
      <c r="A22" s="107"/>
      <c r="B22" s="107"/>
      <c r="C22" s="107"/>
      <c r="D22" s="107"/>
      <c r="E22" s="107"/>
      <c r="F22" s="107"/>
      <c r="G22" s="107"/>
      <c r="H22" s="111"/>
      <c r="I22" s="159"/>
      <c r="J22" s="111"/>
      <c r="K22" s="160"/>
      <c r="L22" s="160"/>
      <c r="M22" s="111"/>
      <c r="N22" s="111"/>
    </row>
    <row r="23" spans="1:15" s="106" customFormat="1" ht="19.5" customHeight="1" x14ac:dyDescent="0.2">
      <c r="A23" s="107"/>
      <c r="B23" s="164" t="s">
        <v>232</v>
      </c>
      <c r="C23" s="107"/>
      <c r="D23" s="107"/>
      <c r="E23" s="107"/>
      <c r="F23" s="107"/>
      <c r="G23" s="107"/>
      <c r="H23" s="111"/>
      <c r="I23" s="111"/>
      <c r="J23" s="111"/>
      <c r="K23" s="107"/>
      <c r="L23" s="107"/>
      <c r="M23" s="111"/>
      <c r="N23" s="111"/>
    </row>
    <row r="24" spans="1:15" s="165" customFormat="1" ht="20.25" customHeight="1" x14ac:dyDescent="0.25">
      <c r="B24" s="166"/>
      <c r="C24" s="167" t="s">
        <v>233</v>
      </c>
      <c r="D24" s="168" t="s">
        <v>234</v>
      </c>
      <c r="E24" s="168" t="s">
        <v>235</v>
      </c>
      <c r="F24" s="168"/>
      <c r="G24" s="168" t="s">
        <v>236</v>
      </c>
      <c r="H24" s="168" t="s">
        <v>191</v>
      </c>
      <c r="I24" s="168" t="s">
        <v>237</v>
      </c>
      <c r="J24" s="169"/>
      <c r="K24" s="164"/>
      <c r="L24" s="164"/>
    </row>
    <row r="25" spans="1:15" s="170" customFormat="1" ht="11.5" x14ac:dyDescent="0.25">
      <c r="B25" s="171"/>
      <c r="C25" s="172"/>
      <c r="D25" s="173"/>
      <c r="E25" s="174"/>
      <c r="H25" s="174"/>
      <c r="I25" s="174"/>
      <c r="J25" s="171"/>
      <c r="K25" s="172"/>
      <c r="L25" s="172"/>
    </row>
    <row r="26" spans="1:15" s="175" customFormat="1" ht="9" x14ac:dyDescent="0.2">
      <c r="B26" s="176">
        <v>0</v>
      </c>
      <c r="C26" s="177">
        <f>DATE(YEAR(C27),MONTH(C27)-1,1)</f>
        <v>38777</v>
      </c>
      <c r="D26" s="178">
        <f>+E10</f>
        <v>2500000</v>
      </c>
      <c r="E26" s="179"/>
      <c r="G26" s="175" t="str">
        <f>IF(AND(MONTH(C26)=MONTH(zEnd_Date_27),zPmt_No_27&lt;zTotal_Payments_27),SUM($E$25:E26),IF(zPmt_No_27=zTotal_Payments_27,$E$76-SUM($G$25:G25),""))</f>
        <v/>
      </c>
      <c r="H26" s="180"/>
      <c r="I26" s="178">
        <f t="shared" ref="I26:I57" si="0">+D26+E26-H26</f>
        <v>2500000</v>
      </c>
      <c r="J26" s="176">
        <f>+E12</f>
        <v>24</v>
      </c>
      <c r="K26" s="181"/>
      <c r="L26" s="181"/>
    </row>
    <row r="27" spans="1:15" s="175" customFormat="1" ht="9" x14ac:dyDescent="0.2">
      <c r="B27" s="176">
        <v>1</v>
      </c>
      <c r="C27" s="177">
        <f>E16</f>
        <v>38808</v>
      </c>
      <c r="D27" s="178">
        <f t="shared" ref="D27:D74" si="1">+I26</f>
        <v>2500000</v>
      </c>
      <c r="E27" s="182">
        <f t="shared" ref="E27:E74" si="2">IF(B27&lt;=zTotal_Payments_27,-IPMT($K$17,B27,zTotal_Payments_27,$E$10),0)</f>
        <v>15624.999999995614</v>
      </c>
      <c r="G27" s="175" t="str">
        <f>IF(AND(MONTH(C27)=MONTH(zEnd_Date_27),zPmt_No_27&lt;zTotal_Payments_27),SUM($E$25:E27),IF(zPmt_No_27=zTotal_Payments_27,$E$76-SUM($G$25:G26),""))</f>
        <v/>
      </c>
      <c r="H27" s="182">
        <f t="shared" ref="H27:H74" si="3">IF(B27&lt;=zTotal_Payments_27,$K$12,0)</f>
        <v>112498.98162906134</v>
      </c>
      <c r="I27" s="178">
        <f t="shared" si="0"/>
        <v>2403126.0183709343</v>
      </c>
      <c r="J27" s="176">
        <f>+E12-1</f>
        <v>23</v>
      </c>
      <c r="K27" s="183" t="str">
        <f t="shared" ref="K27:K74" si="4">IF(J27&lt;0,"hide","")</f>
        <v/>
      </c>
      <c r="L27" s="183"/>
    </row>
    <row r="28" spans="1:15" s="175" customFormat="1" ht="9" x14ac:dyDescent="0.2">
      <c r="B28" s="176">
        <f t="shared" ref="B28:B74" si="5">+B27+1</f>
        <v>2</v>
      </c>
      <c r="C28" s="177">
        <f t="shared" ref="C28:C74" si="6">DATE(YEAR(C27),MONTH(C27)+1,1)</f>
        <v>38838</v>
      </c>
      <c r="D28" s="178">
        <f t="shared" si="1"/>
        <v>2403126.0183709343</v>
      </c>
      <c r="E28" s="182">
        <f t="shared" si="2"/>
        <v>15019.537614814139</v>
      </c>
      <c r="G28" s="175" t="str">
        <f>IF(AND(MONTH(C28)=MONTH(zEnd_Date_27),zPmt_No_27&lt;zTotal_Payments_27),SUM($E$25:E28),IF(zPmt_No_27=zTotal_Payments_27,$E$76-SUM($G$25:G27),""))</f>
        <v/>
      </c>
      <c r="H28" s="182">
        <f t="shared" si="3"/>
        <v>112498.98162906134</v>
      </c>
      <c r="I28" s="178">
        <f t="shared" si="0"/>
        <v>2305646.5743566868</v>
      </c>
      <c r="J28" s="176">
        <f t="shared" ref="J28:J74" si="7">+J27-1</f>
        <v>22</v>
      </c>
      <c r="K28" s="183" t="str">
        <f t="shared" si="4"/>
        <v/>
      </c>
      <c r="L28" s="183"/>
    </row>
    <row r="29" spans="1:15" s="175" customFormat="1" ht="9" x14ac:dyDescent="0.2">
      <c r="B29" s="176">
        <f t="shared" si="5"/>
        <v>3</v>
      </c>
      <c r="C29" s="177">
        <f t="shared" si="6"/>
        <v>38869</v>
      </c>
      <c r="D29" s="178">
        <f t="shared" si="1"/>
        <v>2305646.5743566868</v>
      </c>
      <c r="E29" s="182">
        <f t="shared" si="2"/>
        <v>14410.291089725277</v>
      </c>
      <c r="G29" s="175" t="str">
        <f>IF(AND(MONTH(C29)=MONTH(zEnd_Date_27),zPmt_No_27&lt;zTotal_Payments_27),SUM($E$25:E29),IF(zPmt_No_27=zTotal_Payments_27,$E$76-SUM($G$25:G28),""))</f>
        <v/>
      </c>
      <c r="H29" s="182">
        <f t="shared" si="3"/>
        <v>112498.98162906134</v>
      </c>
      <c r="I29" s="178">
        <f t="shared" si="0"/>
        <v>2207557.8838173505</v>
      </c>
      <c r="J29" s="176">
        <f t="shared" si="7"/>
        <v>21</v>
      </c>
      <c r="K29" s="183" t="str">
        <f t="shared" si="4"/>
        <v/>
      </c>
      <c r="L29" s="183"/>
    </row>
    <row r="30" spans="1:15" s="175" customFormat="1" ht="9" x14ac:dyDescent="0.2">
      <c r="B30" s="176">
        <f t="shared" si="5"/>
        <v>4</v>
      </c>
      <c r="C30" s="177">
        <f t="shared" si="6"/>
        <v>38899</v>
      </c>
      <c r="D30" s="178">
        <f t="shared" si="1"/>
        <v>2207557.8838173505</v>
      </c>
      <c r="E30" s="182">
        <f t="shared" si="2"/>
        <v>13797.236773854611</v>
      </c>
      <c r="G30" s="175" t="str">
        <f>IF(AND(MONTH(C30)=MONTH(zEnd_Date_27),zPmt_No_27&lt;zTotal_Payments_27),SUM($E$25:E30),IF(zPmt_No_27=zTotal_Payments_27,$E$76-SUM($G$25:G29),""))</f>
        <v/>
      </c>
      <c r="H30" s="182">
        <f t="shared" si="3"/>
        <v>112498.98162906134</v>
      </c>
      <c r="I30" s="178">
        <f t="shared" si="0"/>
        <v>2108856.1389621436</v>
      </c>
      <c r="J30" s="176">
        <f t="shared" si="7"/>
        <v>20</v>
      </c>
      <c r="K30" s="183" t="str">
        <f t="shared" si="4"/>
        <v/>
      </c>
      <c r="L30" s="183"/>
    </row>
    <row r="31" spans="1:15" s="175" customFormat="1" ht="9" x14ac:dyDescent="0.2">
      <c r="B31" s="176">
        <f t="shared" si="5"/>
        <v>5</v>
      </c>
      <c r="C31" s="177">
        <f t="shared" si="6"/>
        <v>38930</v>
      </c>
      <c r="D31" s="178">
        <f t="shared" si="1"/>
        <v>2108856.1389621436</v>
      </c>
      <c r="E31" s="182">
        <f t="shared" si="2"/>
        <v>13180.350868509762</v>
      </c>
      <c r="G31" s="175" t="str">
        <f>IF(AND(MONTH(C31)=MONTH(zEnd_Date_27),zPmt_No_27&lt;zTotal_Payments_27),SUM($E$25:E31),IF(zPmt_No_27=zTotal_Payments_27,$E$76-SUM($G$25:G30),""))</f>
        <v/>
      </c>
      <c r="H31" s="182">
        <f t="shared" si="3"/>
        <v>112498.98162906134</v>
      </c>
      <c r="I31" s="178">
        <f t="shared" si="0"/>
        <v>2009537.5082015919</v>
      </c>
      <c r="J31" s="176">
        <f t="shared" si="7"/>
        <v>19</v>
      </c>
      <c r="K31" s="183" t="str">
        <f t="shared" si="4"/>
        <v/>
      </c>
      <c r="L31" s="183"/>
    </row>
    <row r="32" spans="1:15" s="175" customFormat="1" ht="9" x14ac:dyDescent="0.2">
      <c r="B32" s="176">
        <f t="shared" si="5"/>
        <v>6</v>
      </c>
      <c r="C32" s="177">
        <f t="shared" si="6"/>
        <v>38961</v>
      </c>
      <c r="D32" s="178">
        <f t="shared" si="1"/>
        <v>2009537.5082015919</v>
      </c>
      <c r="E32" s="182">
        <f t="shared" si="2"/>
        <v>12559.609426256502</v>
      </c>
      <c r="G32" s="175" t="str">
        <f>IF(AND(MONTH(C32)=MONTH(zEnd_Date_27),zPmt_No_27&lt;zTotal_Payments_27),SUM($E$25:E32),IF(zPmt_No_27=zTotal_Payments_27,$E$76-SUM($G$25:G31),""))</f>
        <v/>
      </c>
      <c r="H32" s="182">
        <f t="shared" si="3"/>
        <v>112498.98162906134</v>
      </c>
      <c r="I32" s="178">
        <f t="shared" si="0"/>
        <v>1909598.1359987871</v>
      </c>
      <c r="J32" s="176">
        <f t="shared" si="7"/>
        <v>18</v>
      </c>
      <c r="K32" s="183" t="str">
        <f t="shared" si="4"/>
        <v/>
      </c>
      <c r="L32" s="183"/>
    </row>
    <row r="33" spans="2:12" s="175" customFormat="1" ht="9" x14ac:dyDescent="0.2">
      <c r="B33" s="176">
        <f t="shared" si="5"/>
        <v>7</v>
      </c>
      <c r="C33" s="177">
        <f t="shared" si="6"/>
        <v>38991</v>
      </c>
      <c r="D33" s="178">
        <f t="shared" si="1"/>
        <v>1909598.1359987871</v>
      </c>
      <c r="E33" s="182">
        <f t="shared" si="2"/>
        <v>11934.988349989164</v>
      </c>
      <c r="G33" s="175" t="str">
        <f>IF(AND(MONTH(C33)=MONTH(zEnd_Date_27),zPmt_No_27&lt;zTotal_Payments_27),SUM($E$25:E33),IF(zPmt_No_27=zTotal_Payments_27,$E$76-SUM($G$25:G32),""))</f>
        <v/>
      </c>
      <c r="H33" s="182">
        <f t="shared" si="3"/>
        <v>112498.98162906134</v>
      </c>
      <c r="I33" s="178">
        <f t="shared" si="0"/>
        <v>1809034.1427197149</v>
      </c>
      <c r="J33" s="176">
        <f t="shared" si="7"/>
        <v>17</v>
      </c>
      <c r="K33" s="183" t="str">
        <f t="shared" si="4"/>
        <v/>
      </c>
      <c r="L33" s="183"/>
    </row>
    <row r="34" spans="2:12" s="175" customFormat="1" ht="9" x14ac:dyDescent="0.2">
      <c r="B34" s="176">
        <f t="shared" si="5"/>
        <v>8</v>
      </c>
      <c r="C34" s="177">
        <f t="shared" si="6"/>
        <v>39022</v>
      </c>
      <c r="D34" s="178">
        <f t="shared" si="1"/>
        <v>1809034.1427197149</v>
      </c>
      <c r="E34" s="182">
        <f t="shared" si="2"/>
        <v>11306.463391995154</v>
      </c>
      <c r="G34" s="175" t="str">
        <f>IF(AND(MONTH(C34)=MONTH(zEnd_Date_27),zPmt_No_27&lt;zTotal_Payments_27),SUM($E$25:E34),IF(zPmt_No_27=zTotal_Payments_27,$E$76-SUM($G$25:G33),""))</f>
        <v/>
      </c>
      <c r="H34" s="182">
        <f t="shared" si="3"/>
        <v>112498.98162906134</v>
      </c>
      <c r="I34" s="178">
        <f t="shared" si="0"/>
        <v>1707841.6244826487</v>
      </c>
      <c r="J34" s="176">
        <f t="shared" si="7"/>
        <v>16</v>
      </c>
      <c r="K34" s="183" t="str">
        <f t="shared" si="4"/>
        <v/>
      </c>
      <c r="L34" s="183"/>
    </row>
    <row r="35" spans="2:12" s="175" customFormat="1" ht="9" x14ac:dyDescent="0.2">
      <c r="B35" s="176">
        <f t="shared" si="5"/>
        <v>9</v>
      </c>
      <c r="C35" s="177">
        <f t="shared" si="6"/>
        <v>39052</v>
      </c>
      <c r="D35" s="178">
        <f t="shared" si="1"/>
        <v>1707841.6244826487</v>
      </c>
      <c r="E35" s="182">
        <f t="shared" si="2"/>
        <v>10674.010153013682</v>
      </c>
      <c r="G35" s="175" t="str">
        <f>IF(AND(MONTH(C35)=MONTH(zEnd_Date_27),zPmt_No_27&lt;zTotal_Payments_27),SUM($E$25:E35),IF(zPmt_No_27=zTotal_Payments_27,$E$76-SUM($G$25:G34),""))</f>
        <v/>
      </c>
      <c r="H35" s="182">
        <f t="shared" si="3"/>
        <v>112498.98162906134</v>
      </c>
      <c r="I35" s="178">
        <f t="shared" si="0"/>
        <v>1606016.6530066011</v>
      </c>
      <c r="J35" s="176">
        <f t="shared" si="7"/>
        <v>15</v>
      </c>
      <c r="K35" s="183" t="str">
        <f t="shared" si="4"/>
        <v/>
      </c>
      <c r="L35" s="183"/>
    </row>
    <row r="36" spans="2:12" s="175" customFormat="1" ht="9" x14ac:dyDescent="0.2">
      <c r="B36" s="176">
        <f t="shared" si="5"/>
        <v>10</v>
      </c>
      <c r="C36" s="177">
        <f t="shared" si="6"/>
        <v>39083</v>
      </c>
      <c r="D36" s="178">
        <f t="shared" si="1"/>
        <v>1606016.6530066011</v>
      </c>
      <c r="E36" s="182">
        <f t="shared" si="2"/>
        <v>10037.604081288579</v>
      </c>
      <c r="G36" s="175">
        <f>IF(AND(MONTH(C36)=MONTH(zEnd_Date_27),zPmt_No_27&lt;zTotal_Payments_27),SUM($E$25:E36),IF(zPmt_No_27=zTotal_Payments_27,$E$76-SUM($G$25:G35),""))</f>
        <v>128545.09174944249</v>
      </c>
      <c r="H36" s="182">
        <f t="shared" si="3"/>
        <v>112498.98162906134</v>
      </c>
      <c r="I36" s="178">
        <f t="shared" si="0"/>
        <v>1503555.2754588285</v>
      </c>
      <c r="J36" s="176">
        <f t="shared" si="7"/>
        <v>14</v>
      </c>
      <c r="K36" s="183" t="str">
        <f t="shared" si="4"/>
        <v/>
      </c>
      <c r="L36" s="183"/>
    </row>
    <row r="37" spans="2:12" s="175" customFormat="1" ht="9" x14ac:dyDescent="0.2">
      <c r="B37" s="176">
        <f t="shared" si="5"/>
        <v>11</v>
      </c>
      <c r="C37" s="177">
        <f t="shared" si="6"/>
        <v>39114</v>
      </c>
      <c r="D37" s="178">
        <f t="shared" si="1"/>
        <v>1503555.2754588285</v>
      </c>
      <c r="E37" s="182">
        <f t="shared" si="2"/>
        <v>9397.2204716151937</v>
      </c>
      <c r="G37" s="175" t="str">
        <f>IF(AND(MONTH(C37)=MONTH(zEnd_Date_27),zPmt_No_27&lt;zTotal_Payments_27),SUM($E$25:E37),IF(zPmt_No_27=zTotal_Payments_27,$E$76-SUM($G$25:G36),""))</f>
        <v/>
      </c>
      <c r="H37" s="182">
        <f t="shared" si="3"/>
        <v>112498.98162906134</v>
      </c>
      <c r="I37" s="178">
        <f t="shared" si="0"/>
        <v>1400453.5143013825</v>
      </c>
      <c r="J37" s="176">
        <f t="shared" si="7"/>
        <v>13</v>
      </c>
      <c r="K37" s="183" t="str">
        <f t="shared" si="4"/>
        <v/>
      </c>
      <c r="L37" s="183"/>
    </row>
    <row r="38" spans="2:12" s="175" customFormat="1" ht="9" x14ac:dyDescent="0.2">
      <c r="B38" s="176">
        <f t="shared" si="5"/>
        <v>12</v>
      </c>
      <c r="C38" s="177">
        <f t="shared" si="6"/>
        <v>39142</v>
      </c>
      <c r="D38" s="178">
        <f t="shared" si="1"/>
        <v>1400453.5143013825</v>
      </c>
      <c r="E38" s="182">
        <f t="shared" si="2"/>
        <v>8752.8344643813507</v>
      </c>
      <c r="G38" s="175" t="str">
        <f>IF(AND(MONTH(C38)=MONTH(zEnd_Date_27),zPmt_No_27&lt;zTotal_Payments_27),SUM(E27:E38),IF(zPmt_No_27=zTotal_Payments_27,$E$76-SUM($G$25:G37),""))</f>
        <v/>
      </c>
      <c r="H38" s="182">
        <f t="shared" si="3"/>
        <v>112498.98162906134</v>
      </c>
      <c r="I38" s="178">
        <f t="shared" si="0"/>
        <v>1296707.3671367026</v>
      </c>
      <c r="J38" s="176">
        <f t="shared" si="7"/>
        <v>12</v>
      </c>
      <c r="K38" s="183" t="str">
        <f t="shared" si="4"/>
        <v/>
      </c>
      <c r="L38" s="183"/>
    </row>
    <row r="39" spans="2:12" s="175" customFormat="1" ht="9" x14ac:dyDescent="0.2">
      <c r="B39" s="176">
        <f t="shared" si="5"/>
        <v>13</v>
      </c>
      <c r="C39" s="177">
        <f t="shared" si="6"/>
        <v>39173</v>
      </c>
      <c r="D39" s="178">
        <f t="shared" si="1"/>
        <v>1296707.3671367026</v>
      </c>
      <c r="E39" s="182">
        <f t="shared" si="2"/>
        <v>8104.4210446022989</v>
      </c>
      <c r="G39" s="175" t="str">
        <f>IF(AND(MONTH(C39)=MONTH(zEnd_Date_27),zPmt_No_27&lt;zTotal_Payments_27),SUM(E28:E39),IF(zPmt_No_27=zTotal_Payments_27,$E$76-SUM($G$25:G38),""))</f>
        <v/>
      </c>
      <c r="H39" s="182">
        <f t="shared" si="3"/>
        <v>112498.98162906134</v>
      </c>
      <c r="I39" s="178">
        <f t="shared" si="0"/>
        <v>1192312.8065522437</v>
      </c>
      <c r="J39" s="176">
        <f t="shared" si="7"/>
        <v>11</v>
      </c>
      <c r="K39" s="183" t="str">
        <f t="shared" si="4"/>
        <v/>
      </c>
      <c r="L39" s="183"/>
    </row>
    <row r="40" spans="2:12" s="175" customFormat="1" ht="9" x14ac:dyDescent="0.2">
      <c r="B40" s="176">
        <f t="shared" si="5"/>
        <v>14</v>
      </c>
      <c r="C40" s="177">
        <f t="shared" si="6"/>
        <v>39203</v>
      </c>
      <c r="D40" s="178">
        <f t="shared" si="1"/>
        <v>1192312.8065522437</v>
      </c>
      <c r="E40" s="182">
        <f t="shared" si="2"/>
        <v>7451.9550409496278</v>
      </c>
      <c r="G40" s="175" t="str">
        <f>IF(AND(MONTH(C40)=MONTH(zEnd_Date_27),zPmt_No_27&lt;zTotal_Payments_27),SUM(E29:E40),IF(zPmt_No_27=zTotal_Payments_27,$E$76-SUM($G$25:G39),""))</f>
        <v/>
      </c>
      <c r="H40" s="182">
        <f t="shared" si="3"/>
        <v>112498.98162906134</v>
      </c>
      <c r="I40" s="178">
        <f t="shared" si="0"/>
        <v>1087265.779964132</v>
      </c>
      <c r="J40" s="176">
        <f t="shared" si="7"/>
        <v>10</v>
      </c>
      <c r="K40" s="183" t="str">
        <f t="shared" si="4"/>
        <v/>
      </c>
      <c r="L40" s="183"/>
    </row>
    <row r="41" spans="2:12" s="175" customFormat="1" ht="9" x14ac:dyDescent="0.2">
      <c r="B41" s="176">
        <f t="shared" si="5"/>
        <v>15</v>
      </c>
      <c r="C41" s="177">
        <f t="shared" si="6"/>
        <v>39234</v>
      </c>
      <c r="D41" s="178">
        <f t="shared" si="1"/>
        <v>1087265.779964132</v>
      </c>
      <c r="E41" s="182">
        <f t="shared" si="2"/>
        <v>6795.4111247741284</v>
      </c>
      <c r="G41" s="175" t="str">
        <f>IF(AND(MONTH(C41)=MONTH(zEnd_Date_27),zPmt_No_27&lt;zTotal_Payments_27),SUM(E30:E41),IF(zPmt_No_27=zTotal_Payments_27,$E$76-SUM($G$25:G40),""))</f>
        <v/>
      </c>
      <c r="H41" s="182">
        <f t="shared" si="3"/>
        <v>112498.98162906134</v>
      </c>
      <c r="I41" s="178">
        <f t="shared" si="0"/>
        <v>981562.20945984474</v>
      </c>
      <c r="J41" s="176">
        <f t="shared" si="7"/>
        <v>9</v>
      </c>
      <c r="K41" s="183" t="str">
        <f t="shared" si="4"/>
        <v/>
      </c>
      <c r="L41" s="183"/>
    </row>
    <row r="42" spans="2:12" s="175" customFormat="1" ht="9" x14ac:dyDescent="0.2">
      <c r="B42" s="176">
        <f t="shared" si="5"/>
        <v>16</v>
      </c>
      <c r="C42" s="177">
        <f t="shared" si="6"/>
        <v>39264</v>
      </c>
      <c r="D42" s="178">
        <f t="shared" si="1"/>
        <v>981562.20945984474</v>
      </c>
      <c r="E42" s="182">
        <f t="shared" si="2"/>
        <v>6134.7638091225335</v>
      </c>
      <c r="G42" s="175" t="str">
        <f>IF(AND(MONTH(C42)=MONTH(zEnd_Date_27),zPmt_No_27&lt;zTotal_Payments_27),SUM(E31:E42),IF(zPmt_No_27=zTotal_Payments_27,$E$76-SUM($G$25:G41),""))</f>
        <v/>
      </c>
      <c r="H42" s="182">
        <f t="shared" si="3"/>
        <v>112498.98162906134</v>
      </c>
      <c r="I42" s="178">
        <f t="shared" si="0"/>
        <v>875197.99163990584</v>
      </c>
      <c r="J42" s="176">
        <f t="shared" si="7"/>
        <v>8</v>
      </c>
      <c r="K42" s="183" t="str">
        <f t="shared" si="4"/>
        <v/>
      </c>
      <c r="L42" s="183"/>
    </row>
    <row r="43" spans="2:12" s="175" customFormat="1" ht="9" x14ac:dyDescent="0.2">
      <c r="B43" s="176">
        <f t="shared" si="5"/>
        <v>17</v>
      </c>
      <c r="C43" s="177">
        <f t="shared" si="6"/>
        <v>39295</v>
      </c>
      <c r="D43" s="178">
        <f t="shared" si="1"/>
        <v>875197.99163990584</v>
      </c>
      <c r="E43" s="182">
        <f t="shared" si="2"/>
        <v>5469.9874477481171</v>
      </c>
      <c r="G43" s="175" t="str">
        <f>IF(AND(MONTH(C43)=MONTH(zEnd_Date_27),zPmt_No_27&lt;zTotal_Payments_27),SUM(E32:E43),IF(zPmt_No_27=zTotal_Payments_27,$E$76-SUM($G$25:G42),""))</f>
        <v/>
      </c>
      <c r="H43" s="182">
        <f t="shared" si="3"/>
        <v>112498.98162906134</v>
      </c>
      <c r="I43" s="178">
        <f t="shared" si="0"/>
        <v>768168.99745859252</v>
      </c>
      <c r="J43" s="176">
        <f t="shared" si="7"/>
        <v>7</v>
      </c>
      <c r="K43" s="183" t="str">
        <f t="shared" si="4"/>
        <v/>
      </c>
      <c r="L43" s="183"/>
    </row>
    <row r="44" spans="2:12" s="175" customFormat="1" ht="9" x14ac:dyDescent="0.2">
      <c r="B44" s="176">
        <f t="shared" si="5"/>
        <v>18</v>
      </c>
      <c r="C44" s="177">
        <f t="shared" si="6"/>
        <v>39326</v>
      </c>
      <c r="D44" s="178">
        <f t="shared" si="1"/>
        <v>768168.99745859252</v>
      </c>
      <c r="E44" s="182">
        <f t="shared" si="2"/>
        <v>4801.0562341151117</v>
      </c>
      <c r="G44" s="175" t="str">
        <f>IF(AND(MONTH(C44)=MONTH(zEnd_Date_27),zPmt_No_27&lt;zTotal_Payments_27),SUM(E33:E44),IF(zPmt_No_27=zTotal_Payments_27,$E$76-SUM($G$25:G43),""))</f>
        <v/>
      </c>
      <c r="H44" s="182">
        <f t="shared" si="3"/>
        <v>112498.98162906134</v>
      </c>
      <c r="I44" s="178">
        <f t="shared" si="0"/>
        <v>660471.07206364628</v>
      </c>
      <c r="J44" s="176">
        <f t="shared" si="7"/>
        <v>6</v>
      </c>
      <c r="K44" s="183" t="str">
        <f t="shared" si="4"/>
        <v/>
      </c>
      <c r="L44" s="183"/>
    </row>
    <row r="45" spans="2:12" s="175" customFormat="1" ht="9" x14ac:dyDescent="0.2">
      <c r="B45" s="176">
        <f t="shared" si="5"/>
        <v>19</v>
      </c>
      <c r="C45" s="177">
        <f t="shared" si="6"/>
        <v>39356</v>
      </c>
      <c r="D45" s="178">
        <f t="shared" si="1"/>
        <v>660471.07206364628</v>
      </c>
      <c r="E45" s="182">
        <f t="shared" si="2"/>
        <v>4127.9442003969016</v>
      </c>
      <c r="G45" s="175" t="str">
        <f>IF(AND(MONTH(C45)=MONTH(zEnd_Date_27),zPmt_No_27&lt;zTotal_Payments_27),SUM(E34:E45),IF(zPmt_No_27=zTotal_Payments_27,$E$76-SUM($G$25:G44),""))</f>
        <v/>
      </c>
      <c r="H45" s="182">
        <f t="shared" si="3"/>
        <v>112498.98162906134</v>
      </c>
      <c r="I45" s="178">
        <f t="shared" si="0"/>
        <v>552100.03463498177</v>
      </c>
      <c r="J45" s="176">
        <f t="shared" si="7"/>
        <v>5</v>
      </c>
      <c r="K45" s="183" t="str">
        <f t="shared" si="4"/>
        <v/>
      </c>
      <c r="L45" s="183"/>
    </row>
    <row r="46" spans="2:12" s="175" customFormat="1" ht="9" x14ac:dyDescent="0.2">
      <c r="B46" s="176">
        <f t="shared" si="5"/>
        <v>20</v>
      </c>
      <c r="C46" s="177">
        <f t="shared" si="6"/>
        <v>39387</v>
      </c>
      <c r="D46" s="178">
        <f t="shared" si="1"/>
        <v>552100.03463498177</v>
      </c>
      <c r="E46" s="182">
        <f t="shared" si="2"/>
        <v>3450.625216467954</v>
      </c>
      <c r="G46" s="175" t="str">
        <f>IF(AND(MONTH(C46)=MONTH(zEnd_Date_27),zPmt_No_27&lt;zTotal_Payments_27),SUM(E35:E46),IF(zPmt_No_27=zTotal_Payments_27,$E$76-SUM($G$25:G45),""))</f>
        <v/>
      </c>
      <c r="H46" s="182">
        <f t="shared" si="3"/>
        <v>112498.98162906134</v>
      </c>
      <c r="I46" s="178">
        <f t="shared" si="0"/>
        <v>443051.67822238844</v>
      </c>
      <c r="J46" s="176">
        <f t="shared" si="7"/>
        <v>4</v>
      </c>
      <c r="K46" s="183" t="str">
        <f t="shared" si="4"/>
        <v/>
      </c>
      <c r="L46" s="183"/>
    </row>
    <row r="47" spans="2:12" s="175" customFormat="1" ht="9" x14ac:dyDescent="0.2">
      <c r="B47" s="176">
        <f t="shared" si="5"/>
        <v>21</v>
      </c>
      <c r="C47" s="177">
        <f t="shared" si="6"/>
        <v>39417</v>
      </c>
      <c r="D47" s="178">
        <f t="shared" si="1"/>
        <v>443051.67822238844</v>
      </c>
      <c r="E47" s="182">
        <f t="shared" si="2"/>
        <v>2769.0729888894521</v>
      </c>
      <c r="G47" s="175" t="str">
        <f>IF(AND(MONTH(C47)=MONTH(zEnd_Date_27),zPmt_No_27&lt;zTotal_Payments_27),SUM(E36:E47),IF(zPmt_No_27=zTotal_Payments_27,$E$76-SUM($G$25:G46),""))</f>
        <v/>
      </c>
      <c r="H47" s="182">
        <f t="shared" si="3"/>
        <v>112498.98162906134</v>
      </c>
      <c r="I47" s="178">
        <f t="shared" si="0"/>
        <v>333321.76958221657</v>
      </c>
      <c r="J47" s="176">
        <f t="shared" si="7"/>
        <v>3</v>
      </c>
      <c r="K47" s="183" t="str">
        <f t="shared" si="4"/>
        <v/>
      </c>
      <c r="L47" s="183"/>
    </row>
    <row r="48" spans="2:12" s="175" customFormat="1" ht="9" x14ac:dyDescent="0.2">
      <c r="B48" s="176">
        <f t="shared" si="5"/>
        <v>22</v>
      </c>
      <c r="C48" s="177">
        <f t="shared" si="6"/>
        <v>39448</v>
      </c>
      <c r="D48" s="178">
        <f t="shared" si="1"/>
        <v>333321.76958221657</v>
      </c>
      <c r="E48" s="182">
        <f t="shared" si="2"/>
        <v>2083.2610598885854</v>
      </c>
      <c r="G48" s="175">
        <f>IF(AND(MONTH(C48)=MONTH(zEnd_Date_27),zPmt_No_27&lt;zTotal_Payments_27),SUM(E37:E48),IF(zPmt_No_27=zTotal_Payments_27,$E$76-SUM($G$25:G47),""))</f>
        <v>69338.553102951249</v>
      </c>
      <c r="H48" s="182">
        <f t="shared" si="3"/>
        <v>112498.98162906134</v>
      </c>
      <c r="I48" s="178">
        <f t="shared" si="0"/>
        <v>222906.04901304381</v>
      </c>
      <c r="J48" s="176">
        <f t="shared" si="7"/>
        <v>2</v>
      </c>
      <c r="K48" s="183" t="str">
        <f t="shared" si="4"/>
        <v/>
      </c>
      <c r="L48" s="183"/>
    </row>
    <row r="49" spans="2:12" s="175" customFormat="1" ht="9" x14ac:dyDescent="0.2">
      <c r="B49" s="176">
        <f t="shared" si="5"/>
        <v>23</v>
      </c>
      <c r="C49" s="177">
        <f t="shared" si="6"/>
        <v>39479</v>
      </c>
      <c r="D49" s="178">
        <f t="shared" si="1"/>
        <v>222906.04901304381</v>
      </c>
      <c r="E49" s="182">
        <f t="shared" si="2"/>
        <v>1393.1628063314643</v>
      </c>
      <c r="G49" s="175" t="str">
        <f>IF(AND(MONTH(C49)=MONTH(zEnd_Date_27),zPmt_No_27&lt;zTotal_Payments_27),SUM(E38:E49),IF(zPmt_No_27=zTotal_Payments_27,$E$76-SUM($G$25:G48),""))</f>
        <v/>
      </c>
      <c r="H49" s="182">
        <f t="shared" si="3"/>
        <v>112498.98162906134</v>
      </c>
      <c r="I49" s="178">
        <f t="shared" si="0"/>
        <v>111800.23019031395</v>
      </c>
      <c r="J49" s="176">
        <f t="shared" si="7"/>
        <v>1</v>
      </c>
      <c r="K49" s="183" t="str">
        <f t="shared" si="4"/>
        <v/>
      </c>
      <c r="L49" s="183"/>
    </row>
    <row r="50" spans="2:12" s="175" customFormat="1" ht="9" x14ac:dyDescent="0.2">
      <c r="B50" s="176">
        <f t="shared" si="5"/>
        <v>24</v>
      </c>
      <c r="C50" s="177">
        <f t="shared" si="6"/>
        <v>39508</v>
      </c>
      <c r="D50" s="178">
        <f t="shared" si="1"/>
        <v>111800.23019031395</v>
      </c>
      <c r="E50" s="182">
        <f t="shared" si="2"/>
        <v>698.7514386896122</v>
      </c>
      <c r="G50" s="175">
        <f>IF(AND(MONTH(C50)=MONTH(zEnd_Date_27),zPmt_No_27&lt;zTotal_Payments_27),SUM(E39:E50),IF(zPmt_No_27=zTotal_Payments_27,$E$76-SUM($G$25:G49),""))</f>
        <v>2091.9142450210929</v>
      </c>
      <c r="H50" s="182">
        <f t="shared" si="3"/>
        <v>112498.98162906134</v>
      </c>
      <c r="I50" s="178">
        <f t="shared" si="0"/>
        <v>-5.7785655371844769E-8</v>
      </c>
      <c r="J50" s="176">
        <f t="shared" si="7"/>
        <v>0</v>
      </c>
      <c r="K50" s="183" t="str">
        <f t="shared" si="4"/>
        <v/>
      </c>
      <c r="L50" s="183"/>
    </row>
    <row r="51" spans="2:12" s="175" customFormat="1" ht="9" x14ac:dyDescent="0.2">
      <c r="B51" s="176">
        <f t="shared" si="5"/>
        <v>25</v>
      </c>
      <c r="C51" s="177">
        <f t="shared" si="6"/>
        <v>39539</v>
      </c>
      <c r="D51" s="178">
        <f t="shared" si="1"/>
        <v>-5.7785655371844769E-8</v>
      </c>
      <c r="E51" s="182">
        <f t="shared" si="2"/>
        <v>0</v>
      </c>
      <c r="G51" s="175" t="str">
        <f>IF(AND(MONTH(C51)=MONTH(zEnd_Date_27),zPmt_No_27&lt;zTotal_Payments_27),SUM(E40:E51),IF(zPmt_No_27=zTotal_Payments_27,$E$76-SUM($G$25:G50),""))</f>
        <v/>
      </c>
      <c r="H51" s="182">
        <f t="shared" si="3"/>
        <v>0</v>
      </c>
      <c r="I51" s="178">
        <f t="shared" si="0"/>
        <v>-5.7785655371844769E-8</v>
      </c>
      <c r="J51" s="176">
        <f t="shared" si="7"/>
        <v>-1</v>
      </c>
      <c r="K51" s="183" t="str">
        <f t="shared" si="4"/>
        <v>hide</v>
      </c>
      <c r="L51" s="183"/>
    </row>
    <row r="52" spans="2:12" s="175" customFormat="1" ht="9" x14ac:dyDescent="0.2">
      <c r="B52" s="176">
        <f t="shared" si="5"/>
        <v>26</v>
      </c>
      <c r="C52" s="177">
        <f t="shared" si="6"/>
        <v>39569</v>
      </c>
      <c r="D52" s="178">
        <f t="shared" si="1"/>
        <v>-5.7785655371844769E-8</v>
      </c>
      <c r="E52" s="182">
        <f t="shared" si="2"/>
        <v>0</v>
      </c>
      <c r="G52" s="175" t="str">
        <f>IF(AND(MONTH(C52)=MONTH(zEnd_Date_27),zPmt_No_27&lt;zTotal_Payments_27),SUM(E41:E52),IF(zPmt_No_27=zTotal_Payments_27,$E$76-SUM($G$25:G51),""))</f>
        <v/>
      </c>
      <c r="H52" s="182">
        <f t="shared" si="3"/>
        <v>0</v>
      </c>
      <c r="I52" s="178">
        <f t="shared" si="0"/>
        <v>-5.7785655371844769E-8</v>
      </c>
      <c r="J52" s="176">
        <f t="shared" si="7"/>
        <v>-2</v>
      </c>
      <c r="K52" s="183" t="str">
        <f t="shared" si="4"/>
        <v>hide</v>
      </c>
      <c r="L52" s="183"/>
    </row>
    <row r="53" spans="2:12" s="175" customFormat="1" ht="9" x14ac:dyDescent="0.2">
      <c r="B53" s="176">
        <f t="shared" si="5"/>
        <v>27</v>
      </c>
      <c r="C53" s="177">
        <f t="shared" si="6"/>
        <v>39600</v>
      </c>
      <c r="D53" s="178">
        <f t="shared" si="1"/>
        <v>-5.7785655371844769E-8</v>
      </c>
      <c r="E53" s="182">
        <f t="shared" si="2"/>
        <v>0</v>
      </c>
      <c r="G53" s="175" t="str">
        <f>IF(AND(MONTH(C53)=MONTH(zEnd_Date_27),zPmt_No_27&lt;zTotal_Payments_27),SUM(E42:E53),IF(zPmt_No_27=zTotal_Payments_27,$E$76-SUM($G$25:G52),""))</f>
        <v/>
      </c>
      <c r="H53" s="182">
        <f t="shared" si="3"/>
        <v>0</v>
      </c>
      <c r="I53" s="178">
        <f t="shared" si="0"/>
        <v>-5.7785655371844769E-8</v>
      </c>
      <c r="J53" s="176">
        <f t="shared" si="7"/>
        <v>-3</v>
      </c>
      <c r="K53" s="183" t="str">
        <f t="shared" si="4"/>
        <v>hide</v>
      </c>
      <c r="L53" s="183"/>
    </row>
    <row r="54" spans="2:12" s="175" customFormat="1" ht="9" x14ac:dyDescent="0.2">
      <c r="B54" s="176">
        <f t="shared" si="5"/>
        <v>28</v>
      </c>
      <c r="C54" s="177">
        <f t="shared" si="6"/>
        <v>39630</v>
      </c>
      <c r="D54" s="178">
        <f t="shared" si="1"/>
        <v>-5.7785655371844769E-8</v>
      </c>
      <c r="E54" s="182">
        <f t="shared" si="2"/>
        <v>0</v>
      </c>
      <c r="G54" s="175" t="str">
        <f>IF(AND(MONTH(C54)=MONTH(zEnd_Date_27),zPmt_No_27&lt;zTotal_Payments_27),SUM(E43:E54),IF(zPmt_No_27=zTotal_Payments_27,$E$76-SUM($G$25:G53),""))</f>
        <v/>
      </c>
      <c r="H54" s="182">
        <f t="shared" si="3"/>
        <v>0</v>
      </c>
      <c r="I54" s="178">
        <f t="shared" si="0"/>
        <v>-5.7785655371844769E-8</v>
      </c>
      <c r="J54" s="176">
        <f t="shared" si="7"/>
        <v>-4</v>
      </c>
      <c r="K54" s="183" t="str">
        <f t="shared" si="4"/>
        <v>hide</v>
      </c>
      <c r="L54" s="183"/>
    </row>
    <row r="55" spans="2:12" s="175" customFormat="1" ht="9" x14ac:dyDescent="0.2">
      <c r="B55" s="176">
        <f t="shared" si="5"/>
        <v>29</v>
      </c>
      <c r="C55" s="177">
        <f t="shared" si="6"/>
        <v>39661</v>
      </c>
      <c r="D55" s="178">
        <f t="shared" si="1"/>
        <v>-5.7785655371844769E-8</v>
      </c>
      <c r="E55" s="182">
        <f t="shared" si="2"/>
        <v>0</v>
      </c>
      <c r="G55" s="175" t="str">
        <f>IF(AND(MONTH(C55)=MONTH(zEnd_Date_27),zPmt_No_27&lt;zTotal_Payments_27),SUM(E44:E55),IF(zPmt_No_27=zTotal_Payments_27,$E$76-SUM($G$25:G54),""))</f>
        <v/>
      </c>
      <c r="H55" s="182">
        <f t="shared" si="3"/>
        <v>0</v>
      </c>
      <c r="I55" s="178">
        <f t="shared" si="0"/>
        <v>-5.7785655371844769E-8</v>
      </c>
      <c r="J55" s="176">
        <f t="shared" si="7"/>
        <v>-5</v>
      </c>
      <c r="K55" s="183" t="str">
        <f t="shared" si="4"/>
        <v>hide</v>
      </c>
      <c r="L55" s="183"/>
    </row>
    <row r="56" spans="2:12" s="175" customFormat="1" ht="9" x14ac:dyDescent="0.2">
      <c r="B56" s="176">
        <f t="shared" si="5"/>
        <v>30</v>
      </c>
      <c r="C56" s="177">
        <f t="shared" si="6"/>
        <v>39692</v>
      </c>
      <c r="D56" s="178">
        <f t="shared" si="1"/>
        <v>-5.7785655371844769E-8</v>
      </c>
      <c r="E56" s="182">
        <f t="shared" si="2"/>
        <v>0</v>
      </c>
      <c r="G56" s="175" t="str">
        <f>IF(AND(MONTH(C56)=MONTH(zEnd_Date_27),zPmt_No_27&lt;zTotal_Payments_27),SUM(E45:E56),IF(zPmt_No_27=zTotal_Payments_27,$E$76-SUM($G$25:G55),""))</f>
        <v/>
      </c>
      <c r="H56" s="182">
        <f t="shared" si="3"/>
        <v>0</v>
      </c>
      <c r="I56" s="178">
        <f t="shared" si="0"/>
        <v>-5.7785655371844769E-8</v>
      </c>
      <c r="J56" s="176">
        <f t="shared" si="7"/>
        <v>-6</v>
      </c>
      <c r="K56" s="183" t="str">
        <f t="shared" si="4"/>
        <v>hide</v>
      </c>
      <c r="L56" s="183"/>
    </row>
    <row r="57" spans="2:12" s="175" customFormat="1" ht="9" x14ac:dyDescent="0.2">
      <c r="B57" s="176">
        <f t="shared" si="5"/>
        <v>31</v>
      </c>
      <c r="C57" s="177">
        <f t="shared" si="6"/>
        <v>39722</v>
      </c>
      <c r="D57" s="178">
        <f t="shared" si="1"/>
        <v>-5.7785655371844769E-8</v>
      </c>
      <c r="E57" s="182">
        <f t="shared" si="2"/>
        <v>0</v>
      </c>
      <c r="G57" s="175" t="str">
        <f>IF(AND(MONTH(C57)=MONTH(zEnd_Date_27),zPmt_No_27&lt;zTotal_Payments_27),SUM(E46:E57),IF(zPmt_No_27=zTotal_Payments_27,$E$76-SUM($G$25:G56),""))</f>
        <v/>
      </c>
      <c r="H57" s="182">
        <f t="shared" si="3"/>
        <v>0</v>
      </c>
      <c r="I57" s="178">
        <f t="shared" si="0"/>
        <v>-5.7785655371844769E-8</v>
      </c>
      <c r="J57" s="176">
        <f t="shared" si="7"/>
        <v>-7</v>
      </c>
      <c r="K57" s="183" t="str">
        <f t="shared" si="4"/>
        <v>hide</v>
      </c>
      <c r="L57" s="183"/>
    </row>
    <row r="58" spans="2:12" s="175" customFormat="1" ht="9" x14ac:dyDescent="0.2">
      <c r="B58" s="176">
        <f t="shared" si="5"/>
        <v>32</v>
      </c>
      <c r="C58" s="177">
        <f t="shared" si="6"/>
        <v>39753</v>
      </c>
      <c r="D58" s="178">
        <f t="shared" si="1"/>
        <v>-5.7785655371844769E-8</v>
      </c>
      <c r="E58" s="182">
        <f t="shared" si="2"/>
        <v>0</v>
      </c>
      <c r="G58" s="175" t="str">
        <f>IF(AND(MONTH(C58)=MONTH(zEnd_Date_27),zPmt_No_27&lt;zTotal_Payments_27),SUM(E47:E58),IF(zPmt_No_27=zTotal_Payments_27,$E$76-SUM($G$25:G57),""))</f>
        <v/>
      </c>
      <c r="H58" s="182">
        <f t="shared" si="3"/>
        <v>0</v>
      </c>
      <c r="I58" s="178">
        <f t="shared" ref="I58:I74" si="8">+D58+E58-H58</f>
        <v>-5.7785655371844769E-8</v>
      </c>
      <c r="J58" s="176">
        <f t="shared" si="7"/>
        <v>-8</v>
      </c>
      <c r="K58" s="183" t="str">
        <f t="shared" si="4"/>
        <v>hide</v>
      </c>
      <c r="L58" s="183"/>
    </row>
    <row r="59" spans="2:12" s="175" customFormat="1" ht="9" x14ac:dyDescent="0.2">
      <c r="B59" s="176">
        <f t="shared" si="5"/>
        <v>33</v>
      </c>
      <c r="C59" s="177">
        <f t="shared" si="6"/>
        <v>39783</v>
      </c>
      <c r="D59" s="178">
        <f t="shared" si="1"/>
        <v>-5.7785655371844769E-8</v>
      </c>
      <c r="E59" s="182">
        <f t="shared" si="2"/>
        <v>0</v>
      </c>
      <c r="G59" s="175" t="str">
        <f>IF(AND(MONTH(C59)=MONTH(zEnd_Date_27),zPmt_No_27&lt;zTotal_Payments_27),SUM(E48:E59),IF(zPmt_No_27=zTotal_Payments_27,$E$76-SUM($G$25:G58),""))</f>
        <v/>
      </c>
      <c r="H59" s="182">
        <f t="shared" si="3"/>
        <v>0</v>
      </c>
      <c r="I59" s="178">
        <f t="shared" si="8"/>
        <v>-5.7785655371844769E-8</v>
      </c>
      <c r="J59" s="176">
        <f t="shared" si="7"/>
        <v>-9</v>
      </c>
      <c r="K59" s="183" t="str">
        <f t="shared" si="4"/>
        <v>hide</v>
      </c>
      <c r="L59" s="183"/>
    </row>
    <row r="60" spans="2:12" s="175" customFormat="1" ht="9" x14ac:dyDescent="0.2">
      <c r="B60" s="176">
        <f t="shared" si="5"/>
        <v>34</v>
      </c>
      <c r="C60" s="177">
        <f t="shared" si="6"/>
        <v>39814</v>
      </c>
      <c r="D60" s="178">
        <f t="shared" si="1"/>
        <v>-5.7785655371844769E-8</v>
      </c>
      <c r="E60" s="182">
        <f t="shared" si="2"/>
        <v>0</v>
      </c>
      <c r="G60" s="175" t="str">
        <f>IF(AND(MONTH(C60)=MONTH(zEnd_Date_27),zPmt_No_27&lt;zTotal_Payments_27),SUM(E49:E60),IF(zPmt_No_27=zTotal_Payments_27,$E$76-SUM($G$25:G59),""))</f>
        <v/>
      </c>
      <c r="H60" s="182">
        <f t="shared" si="3"/>
        <v>0</v>
      </c>
      <c r="I60" s="178">
        <f t="shared" si="8"/>
        <v>-5.7785655371844769E-8</v>
      </c>
      <c r="J60" s="176">
        <f t="shared" si="7"/>
        <v>-10</v>
      </c>
      <c r="K60" s="183" t="str">
        <f t="shared" si="4"/>
        <v>hide</v>
      </c>
      <c r="L60" s="183"/>
    </row>
    <row r="61" spans="2:12" s="175" customFormat="1" ht="9.75" customHeight="1" x14ac:dyDescent="0.2">
      <c r="B61" s="176">
        <f t="shared" si="5"/>
        <v>35</v>
      </c>
      <c r="C61" s="177">
        <f t="shared" si="6"/>
        <v>39845</v>
      </c>
      <c r="D61" s="178">
        <f t="shared" si="1"/>
        <v>-5.7785655371844769E-8</v>
      </c>
      <c r="E61" s="182">
        <f t="shared" si="2"/>
        <v>0</v>
      </c>
      <c r="G61" s="175" t="str">
        <f>IF(AND(MONTH(C61)=MONTH(zEnd_Date_27),zPmt_No_27&lt;zTotal_Payments_27),SUM(E50:E61),IF(zPmt_No_27=zTotal_Payments_27,$E$76-SUM($G$25:G60),""))</f>
        <v/>
      </c>
      <c r="H61" s="182">
        <f t="shared" si="3"/>
        <v>0</v>
      </c>
      <c r="I61" s="178">
        <f t="shared" si="8"/>
        <v>-5.7785655371844769E-8</v>
      </c>
      <c r="J61" s="176">
        <f t="shared" si="7"/>
        <v>-11</v>
      </c>
      <c r="K61" s="183" t="str">
        <f t="shared" si="4"/>
        <v>hide</v>
      </c>
      <c r="L61" s="183"/>
    </row>
    <row r="62" spans="2:12" s="175" customFormat="1" ht="9" x14ac:dyDescent="0.2">
      <c r="B62" s="176">
        <f t="shared" si="5"/>
        <v>36</v>
      </c>
      <c r="C62" s="177">
        <f t="shared" si="6"/>
        <v>39873</v>
      </c>
      <c r="D62" s="178">
        <f t="shared" si="1"/>
        <v>-5.7785655371844769E-8</v>
      </c>
      <c r="E62" s="182">
        <f t="shared" si="2"/>
        <v>0</v>
      </c>
      <c r="G62" s="175" t="str">
        <f>IF(AND(MONTH(C62)=MONTH(zEnd_Date_27),zPmt_No_27&lt;zTotal_Payments_27),SUM(E51:E62),IF(zPmt_No_27=zTotal_Payments_27,$E$76-SUM($G$25:G61),""))</f>
        <v/>
      </c>
      <c r="H62" s="182">
        <f t="shared" si="3"/>
        <v>0</v>
      </c>
      <c r="I62" s="178">
        <f t="shared" si="8"/>
        <v>-5.7785655371844769E-8</v>
      </c>
      <c r="J62" s="176">
        <f t="shared" si="7"/>
        <v>-12</v>
      </c>
      <c r="K62" s="183" t="str">
        <f t="shared" si="4"/>
        <v>hide</v>
      </c>
      <c r="L62" s="183"/>
    </row>
    <row r="63" spans="2:12" s="175" customFormat="1" ht="9" hidden="1" x14ac:dyDescent="0.2">
      <c r="B63" s="176">
        <f t="shared" si="5"/>
        <v>37</v>
      </c>
      <c r="C63" s="177">
        <f t="shared" si="6"/>
        <v>39904</v>
      </c>
      <c r="D63" s="178">
        <f t="shared" si="1"/>
        <v>-5.7785655371844769E-8</v>
      </c>
      <c r="E63" s="182">
        <f t="shared" si="2"/>
        <v>0</v>
      </c>
      <c r="G63" s="175" t="str">
        <f>IF(AND(MONTH(C63)=MONTH(zEnd_Date_27),zPmt_No_27&lt;zTotal_Payments_27),SUM(E52:E63),IF(zPmt_No_27=zTotal_Payments_27,$E$76-SUM($G$25:G62),""))</f>
        <v/>
      </c>
      <c r="H63" s="182">
        <f t="shared" si="3"/>
        <v>0</v>
      </c>
      <c r="I63" s="178">
        <f t="shared" si="8"/>
        <v>-5.7785655371844769E-8</v>
      </c>
      <c r="J63" s="176">
        <f t="shared" si="7"/>
        <v>-13</v>
      </c>
      <c r="K63" s="183" t="str">
        <f t="shared" si="4"/>
        <v>hide</v>
      </c>
      <c r="L63" s="183"/>
    </row>
    <row r="64" spans="2:12" s="175" customFormat="1" ht="9" hidden="1" x14ac:dyDescent="0.2">
      <c r="B64" s="176">
        <f t="shared" si="5"/>
        <v>38</v>
      </c>
      <c r="C64" s="177">
        <f t="shared" si="6"/>
        <v>39934</v>
      </c>
      <c r="D64" s="178">
        <f t="shared" si="1"/>
        <v>-5.7785655371844769E-8</v>
      </c>
      <c r="E64" s="182">
        <f t="shared" si="2"/>
        <v>0</v>
      </c>
      <c r="G64" s="175" t="str">
        <f>IF(AND(MONTH(C64)=MONTH(zEnd_Date_27),zPmt_No_27&lt;zTotal_Payments_27),SUM(E53:E64),IF(zPmt_No_27=zTotal_Payments_27,$E$76-SUM($G$25:G63),""))</f>
        <v/>
      </c>
      <c r="H64" s="182">
        <f t="shared" si="3"/>
        <v>0</v>
      </c>
      <c r="I64" s="178">
        <f t="shared" si="8"/>
        <v>-5.7785655371844769E-8</v>
      </c>
      <c r="J64" s="176">
        <f t="shared" si="7"/>
        <v>-14</v>
      </c>
      <c r="K64" s="183" t="str">
        <f t="shared" si="4"/>
        <v>hide</v>
      </c>
      <c r="L64" s="183"/>
    </row>
    <row r="65" spans="2:12" s="175" customFormat="1" ht="9" hidden="1" x14ac:dyDescent="0.2">
      <c r="B65" s="176">
        <f t="shared" si="5"/>
        <v>39</v>
      </c>
      <c r="C65" s="177">
        <f t="shared" si="6"/>
        <v>39965</v>
      </c>
      <c r="D65" s="178">
        <f t="shared" si="1"/>
        <v>-5.7785655371844769E-8</v>
      </c>
      <c r="E65" s="182">
        <f t="shared" si="2"/>
        <v>0</v>
      </c>
      <c r="G65" s="175" t="str">
        <f>IF(AND(MONTH(C65)=MONTH(zEnd_Date_27),zPmt_No_27&lt;zTotal_Payments_27),SUM(E54:E65),IF(zPmt_No_27=zTotal_Payments_27,$E$76-SUM($G$25:G64),""))</f>
        <v/>
      </c>
      <c r="H65" s="182">
        <f t="shared" si="3"/>
        <v>0</v>
      </c>
      <c r="I65" s="178">
        <f t="shared" si="8"/>
        <v>-5.7785655371844769E-8</v>
      </c>
      <c r="J65" s="176">
        <f t="shared" si="7"/>
        <v>-15</v>
      </c>
      <c r="K65" s="183" t="str">
        <f t="shared" si="4"/>
        <v>hide</v>
      </c>
      <c r="L65" s="183"/>
    </row>
    <row r="66" spans="2:12" s="175" customFormat="1" ht="9" hidden="1" x14ac:dyDescent="0.2">
      <c r="B66" s="176">
        <f t="shared" si="5"/>
        <v>40</v>
      </c>
      <c r="C66" s="177">
        <f t="shared" si="6"/>
        <v>39995</v>
      </c>
      <c r="D66" s="178">
        <f t="shared" si="1"/>
        <v>-5.7785655371844769E-8</v>
      </c>
      <c r="E66" s="182">
        <f t="shared" si="2"/>
        <v>0</v>
      </c>
      <c r="G66" s="175" t="str">
        <f>IF(AND(MONTH(C66)=MONTH(zEnd_Date_27),zPmt_No_27&lt;zTotal_Payments_27),SUM(E55:E66),IF(zPmt_No_27=zTotal_Payments_27,$E$76-SUM($G$25:G65),""))</f>
        <v/>
      </c>
      <c r="H66" s="182">
        <f t="shared" si="3"/>
        <v>0</v>
      </c>
      <c r="I66" s="178">
        <f t="shared" si="8"/>
        <v>-5.7785655371844769E-8</v>
      </c>
      <c r="J66" s="176">
        <f t="shared" si="7"/>
        <v>-16</v>
      </c>
      <c r="K66" s="183" t="str">
        <f t="shared" si="4"/>
        <v>hide</v>
      </c>
      <c r="L66" s="183"/>
    </row>
    <row r="67" spans="2:12" s="175" customFormat="1" ht="9" hidden="1" x14ac:dyDescent="0.2">
      <c r="B67" s="176">
        <f t="shared" si="5"/>
        <v>41</v>
      </c>
      <c r="C67" s="177">
        <f t="shared" si="6"/>
        <v>40026</v>
      </c>
      <c r="D67" s="178">
        <f t="shared" si="1"/>
        <v>-5.7785655371844769E-8</v>
      </c>
      <c r="E67" s="182">
        <f t="shared" si="2"/>
        <v>0</v>
      </c>
      <c r="G67" s="175" t="str">
        <f>IF(AND(MONTH(C67)=MONTH(zEnd_Date_27),zPmt_No_27&lt;zTotal_Payments_27),SUM(E56:E67),IF(zPmt_No_27=zTotal_Payments_27,$E$76-SUM($G$25:G66),""))</f>
        <v/>
      </c>
      <c r="H67" s="182">
        <f t="shared" si="3"/>
        <v>0</v>
      </c>
      <c r="I67" s="178">
        <f t="shared" si="8"/>
        <v>-5.7785655371844769E-8</v>
      </c>
      <c r="J67" s="176">
        <f t="shared" si="7"/>
        <v>-17</v>
      </c>
      <c r="K67" s="183" t="str">
        <f t="shared" si="4"/>
        <v>hide</v>
      </c>
      <c r="L67" s="183"/>
    </row>
    <row r="68" spans="2:12" s="175" customFormat="1" ht="9" hidden="1" x14ac:dyDescent="0.2">
      <c r="B68" s="176">
        <f t="shared" si="5"/>
        <v>42</v>
      </c>
      <c r="C68" s="177">
        <f t="shared" si="6"/>
        <v>40057</v>
      </c>
      <c r="D68" s="178">
        <f t="shared" si="1"/>
        <v>-5.7785655371844769E-8</v>
      </c>
      <c r="E68" s="182">
        <f t="shared" si="2"/>
        <v>0</v>
      </c>
      <c r="G68" s="175" t="str">
        <f>IF(AND(MONTH(C68)=MONTH(zEnd_Date_27),zPmt_No_27&lt;zTotal_Payments_27),SUM(E57:E68),IF(zPmt_No_27=zTotal_Payments_27,$E$76-SUM($G$25:G67),""))</f>
        <v/>
      </c>
      <c r="H68" s="182">
        <f t="shared" si="3"/>
        <v>0</v>
      </c>
      <c r="I68" s="178">
        <f t="shared" si="8"/>
        <v>-5.7785655371844769E-8</v>
      </c>
      <c r="J68" s="176">
        <f t="shared" si="7"/>
        <v>-18</v>
      </c>
      <c r="K68" s="183" t="str">
        <f t="shared" si="4"/>
        <v>hide</v>
      </c>
      <c r="L68" s="183"/>
    </row>
    <row r="69" spans="2:12" s="175" customFormat="1" ht="9" hidden="1" x14ac:dyDescent="0.2">
      <c r="B69" s="176">
        <f t="shared" si="5"/>
        <v>43</v>
      </c>
      <c r="C69" s="177">
        <f t="shared" si="6"/>
        <v>40087</v>
      </c>
      <c r="D69" s="178">
        <f t="shared" si="1"/>
        <v>-5.7785655371844769E-8</v>
      </c>
      <c r="E69" s="182">
        <f t="shared" si="2"/>
        <v>0</v>
      </c>
      <c r="G69" s="175" t="str">
        <f>IF(AND(MONTH(C69)=MONTH(zEnd_Date_27),zPmt_No_27&lt;zTotal_Payments_27),SUM(E58:E69),IF(zPmt_No_27=zTotal_Payments_27,$E$76-SUM($G$25:G68),""))</f>
        <v/>
      </c>
      <c r="H69" s="182">
        <f t="shared" si="3"/>
        <v>0</v>
      </c>
      <c r="I69" s="178">
        <f t="shared" si="8"/>
        <v>-5.7785655371844769E-8</v>
      </c>
      <c r="J69" s="176">
        <f t="shared" si="7"/>
        <v>-19</v>
      </c>
      <c r="K69" s="183" t="str">
        <f t="shared" si="4"/>
        <v>hide</v>
      </c>
      <c r="L69" s="183"/>
    </row>
    <row r="70" spans="2:12" s="175" customFormat="1" ht="9" hidden="1" x14ac:dyDescent="0.2">
      <c r="B70" s="176">
        <f t="shared" si="5"/>
        <v>44</v>
      </c>
      <c r="C70" s="177">
        <f t="shared" si="6"/>
        <v>40118</v>
      </c>
      <c r="D70" s="178">
        <f t="shared" si="1"/>
        <v>-5.7785655371844769E-8</v>
      </c>
      <c r="E70" s="182">
        <f t="shared" si="2"/>
        <v>0</v>
      </c>
      <c r="G70" s="175" t="str">
        <f>IF(AND(MONTH(C70)=MONTH(zEnd_Date_27),zPmt_No_27&lt;zTotal_Payments_27),SUM(E59:E70),IF(zPmt_No_27=zTotal_Payments_27,$E$76-SUM($G$25:G69),""))</f>
        <v/>
      </c>
      <c r="H70" s="182">
        <f t="shared" si="3"/>
        <v>0</v>
      </c>
      <c r="I70" s="178">
        <f t="shared" si="8"/>
        <v>-5.7785655371844769E-8</v>
      </c>
      <c r="J70" s="176">
        <f t="shared" si="7"/>
        <v>-20</v>
      </c>
      <c r="K70" s="183" t="str">
        <f t="shared" si="4"/>
        <v>hide</v>
      </c>
      <c r="L70" s="183"/>
    </row>
    <row r="71" spans="2:12" s="175" customFormat="1" ht="9" hidden="1" x14ac:dyDescent="0.2">
      <c r="B71" s="176">
        <f t="shared" si="5"/>
        <v>45</v>
      </c>
      <c r="C71" s="177">
        <f t="shared" si="6"/>
        <v>40148</v>
      </c>
      <c r="D71" s="178">
        <f t="shared" si="1"/>
        <v>-5.7785655371844769E-8</v>
      </c>
      <c r="E71" s="182">
        <f t="shared" si="2"/>
        <v>0</v>
      </c>
      <c r="G71" s="175" t="str">
        <f>IF(AND(MONTH(C71)=MONTH(zEnd_Date_27),zPmt_No_27&lt;zTotal_Payments_27),SUM(E60:E71),IF(zPmt_No_27=zTotal_Payments_27,$E$76-SUM($G$25:G70),""))</f>
        <v/>
      </c>
      <c r="H71" s="182">
        <f t="shared" si="3"/>
        <v>0</v>
      </c>
      <c r="I71" s="178">
        <f t="shared" si="8"/>
        <v>-5.7785655371844769E-8</v>
      </c>
      <c r="J71" s="176">
        <f t="shared" si="7"/>
        <v>-21</v>
      </c>
      <c r="K71" s="183" t="str">
        <f t="shared" si="4"/>
        <v>hide</v>
      </c>
      <c r="L71" s="183"/>
    </row>
    <row r="72" spans="2:12" s="175" customFormat="1" ht="9" hidden="1" x14ac:dyDescent="0.2">
      <c r="B72" s="176">
        <f t="shared" si="5"/>
        <v>46</v>
      </c>
      <c r="C72" s="177">
        <f t="shared" si="6"/>
        <v>40179</v>
      </c>
      <c r="D72" s="178">
        <f t="shared" si="1"/>
        <v>-5.7785655371844769E-8</v>
      </c>
      <c r="E72" s="182">
        <f t="shared" si="2"/>
        <v>0</v>
      </c>
      <c r="G72" s="175" t="str">
        <f>IF(AND(MONTH(C72)=MONTH(zEnd_Date_27),zPmt_No_27&lt;zTotal_Payments_27),SUM(E61:E72),IF(zPmt_No_27=zTotal_Payments_27,$E$76-SUM($G$25:G71),""))</f>
        <v/>
      </c>
      <c r="H72" s="182">
        <f t="shared" si="3"/>
        <v>0</v>
      </c>
      <c r="I72" s="178">
        <f t="shared" si="8"/>
        <v>-5.7785655371844769E-8</v>
      </c>
      <c r="J72" s="176">
        <f t="shared" si="7"/>
        <v>-22</v>
      </c>
      <c r="K72" s="183" t="str">
        <f t="shared" si="4"/>
        <v>hide</v>
      </c>
      <c r="L72" s="183"/>
    </row>
    <row r="73" spans="2:12" s="175" customFormat="1" ht="9" hidden="1" x14ac:dyDescent="0.2">
      <c r="B73" s="176">
        <f t="shared" si="5"/>
        <v>47</v>
      </c>
      <c r="C73" s="177">
        <f t="shared" si="6"/>
        <v>40210</v>
      </c>
      <c r="D73" s="178">
        <f t="shared" si="1"/>
        <v>-5.7785655371844769E-8</v>
      </c>
      <c r="E73" s="182">
        <f t="shared" si="2"/>
        <v>0</v>
      </c>
      <c r="G73" s="175" t="str">
        <f>IF(AND(MONTH(C73)=MONTH(zEnd_Date_27),zPmt_No_27&lt;zTotal_Payments_27),SUM(E62:E73),IF(zPmt_No_27=zTotal_Payments_27,$E$76-SUM($G$25:G72),""))</f>
        <v/>
      </c>
      <c r="H73" s="182">
        <f t="shared" si="3"/>
        <v>0</v>
      </c>
      <c r="I73" s="178">
        <f t="shared" si="8"/>
        <v>-5.7785655371844769E-8</v>
      </c>
      <c r="J73" s="176">
        <f t="shared" si="7"/>
        <v>-23</v>
      </c>
      <c r="K73" s="183" t="str">
        <f t="shared" si="4"/>
        <v>hide</v>
      </c>
      <c r="L73" s="183"/>
    </row>
    <row r="74" spans="2:12" s="175" customFormat="1" ht="9" hidden="1" x14ac:dyDescent="0.2">
      <c r="B74" s="176">
        <f t="shared" si="5"/>
        <v>48</v>
      </c>
      <c r="C74" s="177">
        <f t="shared" si="6"/>
        <v>40238</v>
      </c>
      <c r="D74" s="178">
        <f t="shared" si="1"/>
        <v>-5.7785655371844769E-8</v>
      </c>
      <c r="E74" s="182">
        <f t="shared" si="2"/>
        <v>0</v>
      </c>
      <c r="G74" s="175" t="str">
        <f>IF(AND(MONTH(C74)=MONTH(zEnd_Date_27),zPmt_No_27&lt;zTotal_Payments_27),SUM(E63:E74),IF(zPmt_No_27=zTotal_Payments_27,$E$76-SUM($G$25:G73),""))</f>
        <v/>
      </c>
      <c r="H74" s="182">
        <f t="shared" si="3"/>
        <v>0</v>
      </c>
      <c r="I74" s="178">
        <f t="shared" si="8"/>
        <v>-5.7785655371844769E-8</v>
      </c>
      <c r="J74" s="176">
        <f t="shared" si="7"/>
        <v>-24</v>
      </c>
      <c r="K74" s="183" t="str">
        <f t="shared" si="4"/>
        <v>hide</v>
      </c>
      <c r="L74" s="183"/>
    </row>
    <row r="75" spans="2:12" s="175" customFormat="1" ht="9" x14ac:dyDescent="0.2">
      <c r="B75" s="171"/>
      <c r="C75" s="184"/>
      <c r="D75" s="185"/>
      <c r="E75" s="185"/>
      <c r="H75" s="185"/>
      <c r="I75" s="185"/>
      <c r="J75" s="171"/>
      <c r="K75" s="185"/>
      <c r="L75" s="185"/>
    </row>
    <row r="76" spans="2:12" s="170" customFormat="1" ht="19.5" customHeight="1" x14ac:dyDescent="0.25">
      <c r="B76" s="186"/>
      <c r="C76" s="187"/>
      <c r="D76" s="188"/>
      <c r="E76" s="189">
        <f>SUM(E26:E75)</f>
        <v>199975.55909741484</v>
      </c>
      <c r="F76" s="189"/>
      <c r="G76" s="189">
        <f>SUM(G26:G75)</f>
        <v>199975.55909741484</v>
      </c>
      <c r="H76" s="189">
        <f>SUM(H26:H75)</f>
        <v>2699975.5590974721</v>
      </c>
      <c r="I76" s="188"/>
      <c r="J76" s="190"/>
      <c r="K76" s="191"/>
      <c r="L76" s="191"/>
    </row>
    <row r="77" spans="2:12" s="192" customFormat="1" ht="11.5" x14ac:dyDescent="0.25">
      <c r="B77" s="193"/>
      <c r="C77" s="193"/>
      <c r="D77" s="194"/>
      <c r="E77" s="194"/>
      <c r="F77" s="195"/>
      <c r="G77" s="195"/>
      <c r="H77" s="195"/>
      <c r="I77" s="194"/>
      <c r="J77" s="193"/>
      <c r="K77" s="196"/>
      <c r="L77" s="196"/>
    </row>
    <row r="78" spans="2:12" s="197" customFormat="1" ht="13" x14ac:dyDescent="0.3">
      <c r="B78" s="198"/>
      <c r="C78" s="198"/>
      <c r="D78" s="198"/>
      <c r="E78" s="199"/>
      <c r="F78" s="199"/>
      <c r="G78" s="200"/>
      <c r="H78" s="200"/>
      <c r="I78" s="200"/>
      <c r="J78" s="199"/>
      <c r="K78" s="75"/>
      <c r="L78" s="75"/>
    </row>
  </sheetData>
  <autoFilter ref="K24:K74">
    <filterColumn colId="0">
      <customFilters and="1">
        <customFilter operator="equal" val=""/>
      </customFilters>
    </filterColumn>
  </autoFilter>
  <dataValidations count="3">
    <dataValidation type="date" errorStyle="warning" allowBlank="1" showErrorMessage="1" errorTitle="GS - Message" error="Are you sure you want to enter this value" sqref="C3:C4">
      <formula1>34700</formula1>
      <formula2>38717</formula2>
    </dataValidation>
    <dataValidation type="whole" errorStyle="warning" allowBlank="1" showErrorMessage="1" errorTitle="GS - Message" error="Are you sure you want to overwrite these cells" sqref="O1:O6 A2:A5 J2:J5 N2:O5">
      <formula1>0</formula1>
      <formula2>0</formula2>
    </dataValidation>
    <dataValidation type="date" errorStyle="warning" allowBlank="1" showErrorMessage="1" errorTitle="GS - Message" error="The Start date is not within the Accounting Period" sqref="E14 E16:E17">
      <formula1>C1</formula1>
      <formula2>C2</formula2>
    </dataValidation>
  </dataValidations>
  <pageMargins left="7.8472222222222221E-2" right="7.8472222222222221E-2" top="0.19652777777777777" bottom="0.39305555555555555" header="0.51180555555555562" footer="0.19652777777777777"/>
  <pageSetup paperSize="9" scale="84" orientation="portrait" useFirstPageNumber="1" horizontalDpi="300" verticalDpi="300"/>
  <headerFooter alignWithMargins="0">
    <oddFooter>&amp;L&amp;6Page &amp;P/&amp;N  printed at &amp;T  on &amp;D  &amp;R&amp;6&amp;Z&amp;F</oddFoot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78"/>
  <sheetViews>
    <sheetView zoomScaleSheetLayoutView="75" workbookViewId="0">
      <selection activeCell="A11" sqref="A11"/>
    </sheetView>
  </sheetViews>
  <sheetFormatPr defaultColWidth="8" defaultRowHeight="10" x14ac:dyDescent="0.2"/>
  <cols>
    <col min="1" max="1" width="3.26953125" style="74" customWidth="1"/>
    <col min="2" max="2" width="9.7265625" style="75" customWidth="1"/>
    <col min="3" max="3" width="7.7265625" style="75" customWidth="1"/>
    <col min="4" max="4" width="10.54296875" style="75" customWidth="1"/>
    <col min="5" max="5" width="9.81640625" style="75" customWidth="1"/>
    <col min="6" max="6" width="3.26953125" style="75" customWidth="1"/>
    <col min="7" max="7" width="9.7265625" style="75" customWidth="1"/>
    <col min="8" max="8" width="12.26953125" style="75" customWidth="1"/>
    <col min="9" max="10" width="9.7265625" style="75" customWidth="1"/>
    <col min="11" max="11" width="8.81640625" style="75" customWidth="1"/>
    <col min="12" max="12" width="2" style="75" customWidth="1"/>
    <col min="13" max="13" width="9.7265625" style="75" customWidth="1"/>
    <col min="14" max="14" width="2.7265625" style="75" customWidth="1"/>
    <col min="15" max="15" width="7.26953125" style="75" customWidth="1"/>
    <col min="16" max="16" width="4.08984375" style="75" customWidth="1"/>
    <col min="17" max="16384" width="8" style="75"/>
  </cols>
  <sheetData>
    <row r="1" spans="1:17" ht="9.75" customHeight="1" x14ac:dyDescent="0.35">
      <c r="A1" s="208" t="s">
        <v>240</v>
      </c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M1" s="78"/>
      <c r="N1" s="78"/>
      <c r="O1" s="79"/>
    </row>
    <row r="2" spans="1:17" ht="16" customHeight="1" x14ac:dyDescent="0.35">
      <c r="A2" s="80" t="s">
        <v>215</v>
      </c>
      <c r="B2" s="81"/>
      <c r="C2" s="82"/>
      <c r="D2" s="83"/>
      <c r="E2" s="83"/>
      <c r="F2" s="83"/>
      <c r="G2" s="83"/>
      <c r="H2" s="83"/>
      <c r="I2" s="83"/>
      <c r="J2" s="84" t="s">
        <v>216</v>
      </c>
      <c r="K2" s="85"/>
      <c r="L2" s="83"/>
      <c r="M2" s="83"/>
      <c r="N2" s="84"/>
      <c r="O2" s="86"/>
    </row>
    <row r="3" spans="1:17" ht="16" customHeight="1" x14ac:dyDescent="0.35">
      <c r="A3" s="80" t="s">
        <v>217</v>
      </c>
      <c r="B3" s="81"/>
      <c r="C3" s="87"/>
      <c r="D3" s="88"/>
      <c r="E3" s="88"/>
      <c r="F3" s="88"/>
      <c r="G3" s="88"/>
      <c r="H3" s="88"/>
      <c r="I3" s="88"/>
      <c r="J3" s="84" t="s">
        <v>218</v>
      </c>
      <c r="K3" s="89"/>
      <c r="L3" s="88"/>
      <c r="M3" s="88"/>
      <c r="N3" s="84"/>
      <c r="O3" s="90"/>
    </row>
    <row r="4" spans="1:17" ht="16" customHeight="1" x14ac:dyDescent="0.25">
      <c r="A4" s="80" t="str">
        <f>IF(OR(DATE(YEAR(C4),MONTH(C4),DAY(C4))=DATE(YEAR(C3)+1,MONTH(C3),DAY(C3)-1),C3=""),"YEAR ENDED",IF(DATE(YEAR(C4),MONTH(C4),DAY(C4))=DATE(YEAR(C3),MONTH(C3)+3,DAY(C3)-1),"QTR ENDED","PERIOD ENDED"))</f>
        <v>YEAR ENDED</v>
      </c>
      <c r="B4" s="81"/>
      <c r="C4" s="87"/>
      <c r="D4" s="91"/>
      <c r="E4" s="91"/>
      <c r="F4" s="91"/>
      <c r="G4" s="91"/>
      <c r="H4" s="91"/>
      <c r="I4" s="91"/>
      <c r="J4" s="84" t="s">
        <v>219</v>
      </c>
      <c r="K4" s="92"/>
      <c r="L4" s="91"/>
      <c r="M4" s="88"/>
      <c r="N4" s="84"/>
      <c r="O4" s="93"/>
    </row>
    <row r="5" spans="1:17" ht="16" customHeight="1" x14ac:dyDescent="0.3">
      <c r="A5" s="80" t="s">
        <v>220</v>
      </c>
      <c r="B5" s="81"/>
      <c r="C5" s="94"/>
      <c r="D5" s="91"/>
      <c r="E5" s="91"/>
      <c r="F5" s="91"/>
      <c r="G5" s="91"/>
      <c r="H5" s="91"/>
      <c r="I5" s="91"/>
      <c r="J5" s="84" t="s">
        <v>221</v>
      </c>
      <c r="K5" s="95" t="s">
        <v>222</v>
      </c>
      <c r="L5" s="91"/>
      <c r="M5" s="87"/>
      <c r="N5" s="84"/>
      <c r="O5" s="96"/>
    </row>
    <row r="6" spans="1:17" ht="9.75" customHeight="1" x14ac:dyDescent="0.25">
      <c r="A6" s="97"/>
      <c r="B6" s="98"/>
      <c r="C6" s="99"/>
      <c r="D6" s="99"/>
      <c r="E6" s="99"/>
      <c r="F6" s="99"/>
      <c r="G6" s="99"/>
      <c r="H6" s="99"/>
      <c r="I6" s="99"/>
      <c r="J6" s="99"/>
      <c r="K6" s="100"/>
      <c r="L6" s="99"/>
      <c r="M6" s="101"/>
      <c r="N6" s="101"/>
      <c r="O6" s="102"/>
    </row>
    <row r="8" spans="1:17" s="105" customFormat="1" ht="10.5" x14ac:dyDescent="0.25">
      <c r="A8" s="103"/>
      <c r="B8" s="104"/>
      <c r="H8" s="106"/>
    </row>
    <row r="9" spans="1:17" s="106" customFormat="1" x14ac:dyDescent="0.2">
      <c r="A9" s="107"/>
      <c r="B9" s="108"/>
      <c r="C9" s="109"/>
      <c r="D9" s="109"/>
      <c r="E9" s="109"/>
      <c r="F9" s="110"/>
      <c r="H9" s="111"/>
      <c r="I9" s="112"/>
      <c r="J9" s="113"/>
      <c r="K9" s="109"/>
      <c r="L9" s="110"/>
      <c r="M9" s="111"/>
      <c r="N9" s="111"/>
    </row>
    <row r="10" spans="1:17" s="118" customFormat="1" ht="16.5" customHeight="1" x14ac:dyDescent="0.25">
      <c r="A10" s="114"/>
      <c r="B10" s="115" t="s">
        <v>223</v>
      </c>
      <c r="C10" s="114"/>
      <c r="D10" s="114"/>
      <c r="E10" s="116">
        <v>300000</v>
      </c>
      <c r="F10" s="117"/>
      <c r="H10" s="119"/>
      <c r="I10" s="120" t="s">
        <v>224</v>
      </c>
      <c r="J10" s="121"/>
      <c r="K10" s="122">
        <f>+zTotal_Payments_28/12</f>
        <v>0.25</v>
      </c>
      <c r="L10" s="123"/>
      <c r="M10" s="119"/>
      <c r="N10" s="119"/>
    </row>
    <row r="11" spans="1:17" s="118" customFormat="1" x14ac:dyDescent="0.25">
      <c r="A11" s="114"/>
      <c r="B11" s="115"/>
      <c r="C11" s="114"/>
      <c r="D11" s="114"/>
      <c r="E11" s="124"/>
      <c r="F11" s="117"/>
      <c r="H11" s="119"/>
      <c r="I11" s="125"/>
      <c r="J11" s="126"/>
      <c r="K11" s="119"/>
      <c r="L11" s="127"/>
      <c r="M11" s="119"/>
      <c r="N11" s="119"/>
    </row>
    <row r="12" spans="1:17" s="118" customFormat="1" ht="16.5" customHeight="1" x14ac:dyDescent="0.2">
      <c r="A12" s="114"/>
      <c r="B12" s="115" t="s">
        <v>225</v>
      </c>
      <c r="C12" s="114"/>
      <c r="D12" s="114"/>
      <c r="E12" s="128">
        <v>3</v>
      </c>
      <c r="F12" s="117"/>
      <c r="I12" s="129" t="s">
        <v>226</v>
      </c>
      <c r="J12" s="121"/>
      <c r="K12" s="130">
        <f>-PMT($E$14/12,zTotal_Payments_28,$E$10)</f>
        <v>105041.1501727291</v>
      </c>
      <c r="L12" s="123"/>
      <c r="M12" s="119"/>
      <c r="N12" s="75"/>
      <c r="O12" s="75"/>
    </row>
    <row r="13" spans="1:17" s="118" customFormat="1" x14ac:dyDescent="0.25">
      <c r="A13" s="114"/>
      <c r="B13" s="115"/>
      <c r="C13" s="114"/>
      <c r="D13" s="114"/>
      <c r="E13" s="124"/>
      <c r="F13" s="131"/>
      <c r="I13" s="125"/>
      <c r="J13" s="126"/>
      <c r="K13" s="119"/>
      <c r="L13" s="127"/>
      <c r="M13" s="119"/>
      <c r="N13" s="119"/>
    </row>
    <row r="14" spans="1:17" s="118" customFormat="1" ht="16.5" customHeight="1" x14ac:dyDescent="0.25">
      <c r="A14" s="114"/>
      <c r="B14" s="115" t="s">
        <v>227</v>
      </c>
      <c r="C14" s="114"/>
      <c r="D14" s="114"/>
      <c r="E14" s="132">
        <v>0.3</v>
      </c>
      <c r="F14" s="131"/>
      <c r="I14" s="133" t="s">
        <v>228</v>
      </c>
      <c r="J14" s="134"/>
      <c r="K14" s="135">
        <f>DATE(YEAR(E16),MONTH(E16)+E12-1,DAY(E16))</f>
        <v>38869</v>
      </c>
      <c r="L14" s="123"/>
      <c r="M14" s="119"/>
      <c r="N14" s="119"/>
    </row>
    <row r="15" spans="1:17" s="118" customFormat="1" x14ac:dyDescent="0.2">
      <c r="A15" s="114"/>
      <c r="B15" s="115"/>
      <c r="C15" s="114"/>
      <c r="D15" s="114"/>
      <c r="E15" s="124"/>
      <c r="F15" s="131"/>
      <c r="I15" s="136"/>
      <c r="J15" s="137"/>
      <c r="K15" s="138"/>
      <c r="L15" s="127"/>
      <c r="M15" s="119"/>
      <c r="N15" s="119"/>
    </row>
    <row r="16" spans="1:17" s="118" customFormat="1" ht="16.5" customHeight="1" x14ac:dyDescent="0.25">
      <c r="A16" s="114"/>
      <c r="B16" s="125" t="s">
        <v>229</v>
      </c>
      <c r="C16" s="114"/>
      <c r="D16" s="114"/>
      <c r="E16" s="139">
        <v>38808</v>
      </c>
      <c r="F16" s="117"/>
      <c r="I16" s="140" t="s">
        <v>230</v>
      </c>
      <c r="J16" s="141"/>
      <c r="K16" s="142">
        <f>+(K17+1)^12-1</f>
        <v>0.34488882424663925</v>
      </c>
      <c r="L16" s="143"/>
      <c r="M16" s="144"/>
      <c r="N16" s="144"/>
      <c r="Q16" s="145"/>
    </row>
    <row r="17" spans="1:15" s="118" customFormat="1" ht="16.5" customHeight="1" x14ac:dyDescent="0.2">
      <c r="A17" s="114"/>
      <c r="B17" s="125"/>
      <c r="C17" s="114"/>
      <c r="D17" s="114"/>
      <c r="E17" s="146"/>
      <c r="F17" s="117"/>
      <c r="I17" s="147" t="s">
        <v>231</v>
      </c>
      <c r="J17" s="148"/>
      <c r="K17" s="149">
        <f>RATE(zTotal_Payments_28,-K12,E10)</f>
        <v>2.500000000002162E-2</v>
      </c>
      <c r="L17" s="150"/>
      <c r="M17" s="75"/>
      <c r="N17" s="75"/>
      <c r="O17" s="151"/>
    </row>
    <row r="18" spans="1:15" s="118" customFormat="1" x14ac:dyDescent="0.2">
      <c r="A18" s="114"/>
      <c r="B18" s="152"/>
      <c r="C18" s="153"/>
      <c r="D18" s="153"/>
      <c r="E18" s="154"/>
      <c r="F18" s="155"/>
      <c r="I18" s="156"/>
      <c r="J18" s="157"/>
      <c r="K18" s="157"/>
      <c r="L18" s="158"/>
      <c r="M18" s="75"/>
      <c r="N18" s="75"/>
    </row>
    <row r="19" spans="1:15" s="118" customFormat="1" x14ac:dyDescent="0.2">
      <c r="A19" s="114"/>
      <c r="B19" s="114"/>
      <c r="C19" s="114"/>
      <c r="D19" s="114"/>
      <c r="E19" s="75"/>
      <c r="F19" s="124"/>
      <c r="G19" s="124"/>
      <c r="H19" s="119"/>
      <c r="J19" s="126"/>
      <c r="K19" s="114"/>
      <c r="L19" s="114"/>
      <c r="M19" s="119"/>
      <c r="N19" s="119"/>
    </row>
    <row r="20" spans="1:15" s="106" customFormat="1" x14ac:dyDescent="0.2">
      <c r="A20" s="107"/>
      <c r="B20" s="107"/>
      <c r="C20" s="107"/>
      <c r="D20" s="107"/>
      <c r="E20" s="107"/>
      <c r="F20" s="107"/>
      <c r="G20" s="107"/>
      <c r="H20" s="111"/>
      <c r="I20" s="159"/>
      <c r="J20" s="111"/>
      <c r="K20" s="160"/>
      <c r="L20" s="160"/>
      <c r="M20" s="111"/>
      <c r="N20" s="111"/>
    </row>
    <row r="21" spans="1:15" s="106" customFormat="1" ht="3.75" customHeight="1" x14ac:dyDescent="0.2">
      <c r="A21" s="161"/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3"/>
    </row>
    <row r="22" spans="1:15" s="106" customFormat="1" x14ac:dyDescent="0.2">
      <c r="A22" s="107"/>
      <c r="B22" s="107"/>
      <c r="C22" s="107"/>
      <c r="D22" s="107"/>
      <c r="E22" s="107"/>
      <c r="F22" s="107"/>
      <c r="G22" s="107"/>
      <c r="H22" s="111"/>
      <c r="I22" s="159"/>
      <c r="J22" s="111"/>
      <c r="K22" s="160"/>
      <c r="L22" s="160"/>
      <c r="M22" s="111"/>
      <c r="N22" s="111"/>
    </row>
    <row r="23" spans="1:15" s="106" customFormat="1" ht="19.5" customHeight="1" x14ac:dyDescent="0.2">
      <c r="A23" s="107"/>
      <c r="B23" s="164" t="s">
        <v>232</v>
      </c>
      <c r="C23" s="107"/>
      <c r="D23" s="107"/>
      <c r="E23" s="107"/>
      <c r="F23" s="107"/>
      <c r="G23" s="107"/>
      <c r="H23" s="111"/>
      <c r="I23" s="111"/>
      <c r="J23" s="111"/>
      <c r="K23" s="107"/>
      <c r="L23" s="107"/>
      <c r="M23" s="111"/>
      <c r="N23" s="111"/>
    </row>
    <row r="24" spans="1:15" s="165" customFormat="1" ht="20.25" customHeight="1" x14ac:dyDescent="0.25">
      <c r="B24" s="166"/>
      <c r="C24" s="167" t="s">
        <v>233</v>
      </c>
      <c r="D24" s="168" t="s">
        <v>234</v>
      </c>
      <c r="E24" s="168" t="s">
        <v>235</v>
      </c>
      <c r="F24" s="168"/>
      <c r="G24" s="168" t="s">
        <v>236</v>
      </c>
      <c r="H24" s="168" t="s">
        <v>191</v>
      </c>
      <c r="I24" s="168" t="s">
        <v>237</v>
      </c>
      <c r="J24" s="169"/>
      <c r="K24" s="164"/>
      <c r="L24" s="164"/>
    </row>
    <row r="25" spans="1:15" s="170" customFormat="1" ht="11.5" x14ac:dyDescent="0.25">
      <c r="B25" s="171"/>
      <c r="C25" s="172"/>
      <c r="D25" s="173"/>
      <c r="E25" s="174"/>
      <c r="H25" s="174"/>
      <c r="I25" s="174"/>
      <c r="J25" s="171"/>
      <c r="K25" s="172"/>
      <c r="L25" s="172"/>
    </row>
    <row r="26" spans="1:15" s="175" customFormat="1" ht="9" x14ac:dyDescent="0.2">
      <c r="B26" s="176">
        <v>0</v>
      </c>
      <c r="C26" s="177">
        <f>DATE(YEAR(C27),MONTH(C27)-1,1)</f>
        <v>38777</v>
      </c>
      <c r="D26" s="178">
        <f>+E10</f>
        <v>300000</v>
      </c>
      <c r="E26" s="179"/>
      <c r="G26" s="175" t="str">
        <f>IF(AND(MONTH(C26)=MONTH(zEnd_Date_28),zPmt_No_28&lt;zTotal_Payments_28),SUM($E$25:E26),IF(zPmt_No_28=zTotal_Payments_28,$E$76-SUM($G$25:G25),""))</f>
        <v/>
      </c>
      <c r="H26" s="180"/>
      <c r="I26" s="178">
        <f t="shared" ref="I26:I57" si="0">+D26+E26-H26</f>
        <v>300000</v>
      </c>
      <c r="J26" s="176">
        <f>+E12</f>
        <v>3</v>
      </c>
      <c r="K26" s="181"/>
      <c r="L26" s="181"/>
    </row>
    <row r="27" spans="1:15" s="175" customFormat="1" ht="9" x14ac:dyDescent="0.2">
      <c r="B27" s="176">
        <v>1</v>
      </c>
      <c r="C27" s="177">
        <f>E16</f>
        <v>38808</v>
      </c>
      <c r="D27" s="178">
        <f t="shared" ref="D27:D74" si="1">+I26</f>
        <v>300000</v>
      </c>
      <c r="E27" s="182">
        <f t="shared" ref="E27:E74" si="2">IF(B27&lt;=zTotal_Payments_28,-IPMT($K$17,B27,zTotal_Payments_28,$E$10),0)</f>
        <v>7500.0000000064856</v>
      </c>
      <c r="G27" s="175" t="str">
        <f>IF(AND(MONTH(C27)=MONTH(zEnd_Date_28),zPmt_No_28&lt;zTotal_Payments_28),SUM($E$25:E27),IF(zPmt_No_28=zTotal_Payments_28,$E$76-SUM($G$25:G26),""))</f>
        <v/>
      </c>
      <c r="H27" s="182">
        <v>0</v>
      </c>
      <c r="I27" s="178">
        <f t="shared" si="0"/>
        <v>307500.00000000646</v>
      </c>
      <c r="J27" s="176">
        <f>+E12-1</f>
        <v>2</v>
      </c>
      <c r="K27" s="183" t="str">
        <f t="shared" ref="K27:K74" si="3">IF(J27&lt;0,"hide","")</f>
        <v/>
      </c>
      <c r="L27" s="183"/>
    </row>
    <row r="28" spans="1:15" s="175" customFormat="1" ht="9" x14ac:dyDescent="0.2">
      <c r="B28" s="176">
        <f t="shared" ref="B28:B74" si="4">+B27+1</f>
        <v>2</v>
      </c>
      <c r="C28" s="177">
        <f t="shared" ref="C28:C74" si="5">DATE(YEAR(C27),MONTH(C27)+1,1)</f>
        <v>38838</v>
      </c>
      <c r="D28" s="178">
        <f t="shared" si="1"/>
        <v>307500.00000000646</v>
      </c>
      <c r="E28" s="182">
        <f t="shared" si="2"/>
        <v>5061.4712456862017</v>
      </c>
      <c r="G28" s="175" t="str">
        <f>IF(AND(MONTH(C28)=MONTH(zEnd_Date_28),zPmt_No_28&lt;zTotal_Payments_28),SUM($E$25:E28),IF(zPmt_No_28=zTotal_Payments_28,$E$76-SUM($G$25:G27),""))</f>
        <v/>
      </c>
      <c r="H28" s="182">
        <v>0</v>
      </c>
      <c r="I28" s="178">
        <f t="shared" si="0"/>
        <v>312561.47124569264</v>
      </c>
      <c r="J28" s="176">
        <f t="shared" ref="J28:J74" si="6">+J27-1</f>
        <v>1</v>
      </c>
      <c r="K28" s="183" t="str">
        <f t="shared" si="3"/>
        <v/>
      </c>
      <c r="L28" s="183"/>
    </row>
    <row r="29" spans="1:15" s="175" customFormat="1" ht="9" x14ac:dyDescent="0.2">
      <c r="B29" s="176">
        <f t="shared" si="4"/>
        <v>3</v>
      </c>
      <c r="C29" s="177">
        <f t="shared" si="5"/>
        <v>38869</v>
      </c>
      <c r="D29" s="178">
        <f t="shared" si="1"/>
        <v>312561.47124569264</v>
      </c>
      <c r="E29" s="182">
        <f t="shared" si="2"/>
        <v>2561.9792725078573</v>
      </c>
      <c r="G29" s="175">
        <f>IF(AND(MONTH(C29)=MONTH(zEnd_Date_28),zPmt_No_28&lt;zTotal_Payments_28),SUM($E$25:E29),IF(zPmt_No_28=zTotal_Payments_28,$E$76-SUM($G$25:G28),""))</f>
        <v>15123.450518200543</v>
      </c>
      <c r="H29" s="182">
        <v>262602.88</v>
      </c>
      <c r="I29" s="178">
        <f t="shared" si="0"/>
        <v>52520.57051820046</v>
      </c>
      <c r="J29" s="176">
        <f t="shared" si="6"/>
        <v>0</v>
      </c>
      <c r="K29" s="183" t="str">
        <f t="shared" si="3"/>
        <v/>
      </c>
      <c r="L29" s="183"/>
    </row>
    <row r="30" spans="1:15" s="175" customFormat="1" ht="9" hidden="1" x14ac:dyDescent="0.2">
      <c r="B30" s="176">
        <f t="shared" si="4"/>
        <v>4</v>
      </c>
      <c r="C30" s="177">
        <f t="shared" si="5"/>
        <v>38899</v>
      </c>
      <c r="D30" s="178">
        <f t="shared" si="1"/>
        <v>52520.57051820046</v>
      </c>
      <c r="E30" s="182">
        <f t="shared" si="2"/>
        <v>0</v>
      </c>
      <c r="G30" s="175" t="str">
        <f>IF(AND(MONTH(C30)=MONTH(zEnd_Date_28),zPmt_No_28&lt;zTotal_Payments_28),SUM($E$25:E30),IF(zPmt_No_28=zTotal_Payments_28,$E$76-SUM($G$25:G29),""))</f>
        <v/>
      </c>
      <c r="H30" s="182">
        <f t="shared" ref="H30:H74" si="7">IF(B30&lt;=zTotal_Payments_28,$K$12,0)</f>
        <v>0</v>
      </c>
      <c r="I30" s="178">
        <f t="shared" si="0"/>
        <v>52520.57051820046</v>
      </c>
      <c r="J30" s="176">
        <f t="shared" si="6"/>
        <v>-1</v>
      </c>
      <c r="K30" s="183" t="str">
        <f t="shared" si="3"/>
        <v>hide</v>
      </c>
      <c r="L30" s="183"/>
    </row>
    <row r="31" spans="1:15" s="175" customFormat="1" ht="9" hidden="1" x14ac:dyDescent="0.2">
      <c r="B31" s="176">
        <f t="shared" si="4"/>
        <v>5</v>
      </c>
      <c r="C31" s="177">
        <f t="shared" si="5"/>
        <v>38930</v>
      </c>
      <c r="D31" s="178">
        <f t="shared" si="1"/>
        <v>52520.57051820046</v>
      </c>
      <c r="E31" s="182">
        <f t="shared" si="2"/>
        <v>0</v>
      </c>
      <c r="G31" s="175" t="str">
        <f>IF(AND(MONTH(C31)=MONTH(zEnd_Date_28),zPmt_No_28&lt;zTotal_Payments_28),SUM($E$25:E31),IF(zPmt_No_28=zTotal_Payments_28,$E$76-SUM($G$25:G30),""))</f>
        <v/>
      </c>
      <c r="H31" s="182">
        <f t="shared" si="7"/>
        <v>0</v>
      </c>
      <c r="I31" s="178">
        <f t="shared" si="0"/>
        <v>52520.57051820046</v>
      </c>
      <c r="J31" s="176">
        <f t="shared" si="6"/>
        <v>-2</v>
      </c>
      <c r="K31" s="183" t="str">
        <f t="shared" si="3"/>
        <v>hide</v>
      </c>
      <c r="L31" s="183"/>
    </row>
    <row r="32" spans="1:15" s="175" customFormat="1" ht="9" hidden="1" x14ac:dyDescent="0.2">
      <c r="B32" s="176">
        <f t="shared" si="4"/>
        <v>6</v>
      </c>
      <c r="C32" s="177">
        <f t="shared" si="5"/>
        <v>38961</v>
      </c>
      <c r="D32" s="178">
        <f t="shared" si="1"/>
        <v>52520.57051820046</v>
      </c>
      <c r="E32" s="182">
        <f t="shared" si="2"/>
        <v>0</v>
      </c>
      <c r="G32" s="175" t="str">
        <f>IF(AND(MONTH(C32)=MONTH(zEnd_Date_28),zPmt_No_28&lt;zTotal_Payments_28),SUM($E$25:E32),IF(zPmt_No_28=zTotal_Payments_28,$E$76-SUM($G$25:G31),""))</f>
        <v/>
      </c>
      <c r="H32" s="182">
        <f t="shared" si="7"/>
        <v>0</v>
      </c>
      <c r="I32" s="178">
        <f t="shared" si="0"/>
        <v>52520.57051820046</v>
      </c>
      <c r="J32" s="176">
        <f t="shared" si="6"/>
        <v>-3</v>
      </c>
      <c r="K32" s="183" t="str">
        <f t="shared" si="3"/>
        <v>hide</v>
      </c>
      <c r="L32" s="183"/>
    </row>
    <row r="33" spans="2:12" s="175" customFormat="1" ht="9" hidden="1" x14ac:dyDescent="0.2">
      <c r="B33" s="176">
        <f t="shared" si="4"/>
        <v>7</v>
      </c>
      <c r="C33" s="177">
        <f t="shared" si="5"/>
        <v>38991</v>
      </c>
      <c r="D33" s="178">
        <f t="shared" si="1"/>
        <v>52520.57051820046</v>
      </c>
      <c r="E33" s="182">
        <f t="shared" si="2"/>
        <v>0</v>
      </c>
      <c r="G33" s="175" t="str">
        <f>IF(AND(MONTH(C33)=MONTH(zEnd_Date_28),zPmt_No_28&lt;zTotal_Payments_28),SUM($E$25:E33),IF(zPmt_No_28=zTotal_Payments_28,$E$76-SUM($G$25:G32),""))</f>
        <v/>
      </c>
      <c r="H33" s="182">
        <f t="shared" si="7"/>
        <v>0</v>
      </c>
      <c r="I33" s="178">
        <f t="shared" si="0"/>
        <v>52520.57051820046</v>
      </c>
      <c r="J33" s="176">
        <f t="shared" si="6"/>
        <v>-4</v>
      </c>
      <c r="K33" s="183" t="str">
        <f t="shared" si="3"/>
        <v>hide</v>
      </c>
      <c r="L33" s="183"/>
    </row>
    <row r="34" spans="2:12" s="175" customFormat="1" ht="9" hidden="1" x14ac:dyDescent="0.2">
      <c r="B34" s="176">
        <f t="shared" si="4"/>
        <v>8</v>
      </c>
      <c r="C34" s="177">
        <f t="shared" si="5"/>
        <v>39022</v>
      </c>
      <c r="D34" s="178">
        <f t="shared" si="1"/>
        <v>52520.57051820046</v>
      </c>
      <c r="E34" s="182">
        <f t="shared" si="2"/>
        <v>0</v>
      </c>
      <c r="G34" s="175" t="str">
        <f>IF(AND(MONTH(C34)=MONTH(zEnd_Date_28),zPmt_No_28&lt;zTotal_Payments_28),SUM($E$25:E34),IF(zPmt_No_28=zTotal_Payments_28,$E$76-SUM($G$25:G33),""))</f>
        <v/>
      </c>
      <c r="H34" s="182">
        <f t="shared" si="7"/>
        <v>0</v>
      </c>
      <c r="I34" s="178">
        <f t="shared" si="0"/>
        <v>52520.57051820046</v>
      </c>
      <c r="J34" s="176">
        <f t="shared" si="6"/>
        <v>-5</v>
      </c>
      <c r="K34" s="183" t="str">
        <f t="shared" si="3"/>
        <v>hide</v>
      </c>
      <c r="L34" s="183"/>
    </row>
    <row r="35" spans="2:12" s="175" customFormat="1" ht="9" hidden="1" x14ac:dyDescent="0.2">
      <c r="B35" s="176">
        <f t="shared" si="4"/>
        <v>9</v>
      </c>
      <c r="C35" s="177">
        <f t="shared" si="5"/>
        <v>39052</v>
      </c>
      <c r="D35" s="178">
        <f t="shared" si="1"/>
        <v>52520.57051820046</v>
      </c>
      <c r="E35" s="182">
        <f t="shared" si="2"/>
        <v>0</v>
      </c>
      <c r="G35" s="175" t="str">
        <f>IF(AND(MONTH(C35)=MONTH(zEnd_Date_28),zPmt_No_28&lt;zTotal_Payments_28),SUM($E$25:E35),IF(zPmt_No_28=zTotal_Payments_28,$E$76-SUM($G$25:G34),""))</f>
        <v/>
      </c>
      <c r="H35" s="182">
        <f t="shared" si="7"/>
        <v>0</v>
      </c>
      <c r="I35" s="178">
        <f t="shared" si="0"/>
        <v>52520.57051820046</v>
      </c>
      <c r="J35" s="176">
        <f t="shared" si="6"/>
        <v>-6</v>
      </c>
      <c r="K35" s="183" t="str">
        <f t="shared" si="3"/>
        <v>hide</v>
      </c>
      <c r="L35" s="183"/>
    </row>
    <row r="36" spans="2:12" s="175" customFormat="1" ht="9" hidden="1" x14ac:dyDescent="0.2">
      <c r="B36" s="176">
        <f t="shared" si="4"/>
        <v>10</v>
      </c>
      <c r="C36" s="177">
        <f t="shared" si="5"/>
        <v>39083</v>
      </c>
      <c r="D36" s="178">
        <f t="shared" si="1"/>
        <v>52520.57051820046</v>
      </c>
      <c r="E36" s="182">
        <f t="shared" si="2"/>
        <v>0</v>
      </c>
      <c r="G36" s="175" t="str">
        <f>IF(AND(MONTH(C36)=MONTH(zEnd_Date_28),zPmt_No_28&lt;zTotal_Payments_28),SUM($E$25:E36),IF(zPmt_No_28=zTotal_Payments_28,$E$76-SUM($G$25:G35),""))</f>
        <v/>
      </c>
      <c r="H36" s="182">
        <f t="shared" si="7"/>
        <v>0</v>
      </c>
      <c r="I36" s="178">
        <f t="shared" si="0"/>
        <v>52520.57051820046</v>
      </c>
      <c r="J36" s="176">
        <f t="shared" si="6"/>
        <v>-7</v>
      </c>
      <c r="K36" s="183" t="str">
        <f t="shared" si="3"/>
        <v>hide</v>
      </c>
      <c r="L36" s="183"/>
    </row>
    <row r="37" spans="2:12" s="175" customFormat="1" ht="9" hidden="1" x14ac:dyDescent="0.2">
      <c r="B37" s="176">
        <f t="shared" si="4"/>
        <v>11</v>
      </c>
      <c r="C37" s="177">
        <f t="shared" si="5"/>
        <v>39114</v>
      </c>
      <c r="D37" s="178">
        <f t="shared" si="1"/>
        <v>52520.57051820046</v>
      </c>
      <c r="E37" s="182">
        <f t="shared" si="2"/>
        <v>0</v>
      </c>
      <c r="G37" s="175" t="str">
        <f>IF(AND(MONTH(C37)=MONTH(zEnd_Date_28),zPmt_No_28&lt;zTotal_Payments_28),SUM($E$25:E37),IF(zPmt_No_28=zTotal_Payments_28,$E$76-SUM($G$25:G36),""))</f>
        <v/>
      </c>
      <c r="H37" s="182">
        <f t="shared" si="7"/>
        <v>0</v>
      </c>
      <c r="I37" s="178">
        <f t="shared" si="0"/>
        <v>52520.57051820046</v>
      </c>
      <c r="J37" s="176">
        <f t="shared" si="6"/>
        <v>-8</v>
      </c>
      <c r="K37" s="183" t="str">
        <f t="shared" si="3"/>
        <v>hide</v>
      </c>
      <c r="L37" s="183"/>
    </row>
    <row r="38" spans="2:12" s="175" customFormat="1" ht="9" hidden="1" x14ac:dyDescent="0.2">
      <c r="B38" s="176">
        <f t="shared" si="4"/>
        <v>12</v>
      </c>
      <c r="C38" s="177">
        <f t="shared" si="5"/>
        <v>39142</v>
      </c>
      <c r="D38" s="178">
        <f t="shared" si="1"/>
        <v>52520.57051820046</v>
      </c>
      <c r="E38" s="182">
        <f t="shared" si="2"/>
        <v>0</v>
      </c>
      <c r="G38" s="175" t="str">
        <f>IF(AND(MONTH(C38)=MONTH(zEnd_Date_28),zPmt_No_28&lt;zTotal_Payments_28),SUM(E27:E38),IF(zPmt_No_28=zTotal_Payments_28,$E$76-SUM($G$25:G37),""))</f>
        <v/>
      </c>
      <c r="H38" s="182">
        <f t="shared" si="7"/>
        <v>0</v>
      </c>
      <c r="I38" s="178">
        <f t="shared" si="0"/>
        <v>52520.57051820046</v>
      </c>
      <c r="J38" s="176">
        <f t="shared" si="6"/>
        <v>-9</v>
      </c>
      <c r="K38" s="183" t="str">
        <f t="shared" si="3"/>
        <v>hide</v>
      </c>
      <c r="L38" s="183"/>
    </row>
    <row r="39" spans="2:12" s="175" customFormat="1" ht="9" hidden="1" x14ac:dyDescent="0.2">
      <c r="B39" s="176">
        <f t="shared" si="4"/>
        <v>13</v>
      </c>
      <c r="C39" s="177">
        <f t="shared" si="5"/>
        <v>39173</v>
      </c>
      <c r="D39" s="178">
        <f t="shared" si="1"/>
        <v>52520.57051820046</v>
      </c>
      <c r="E39" s="182">
        <f t="shared" si="2"/>
        <v>0</v>
      </c>
      <c r="G39" s="175" t="str">
        <f>IF(AND(MONTH(C39)=MONTH(zEnd_Date_28),zPmt_No_28&lt;zTotal_Payments_28),SUM(E28:E39),IF(zPmt_No_28=zTotal_Payments_28,$E$76-SUM($G$25:G38),""))</f>
        <v/>
      </c>
      <c r="H39" s="182">
        <f t="shared" si="7"/>
        <v>0</v>
      </c>
      <c r="I39" s="178">
        <f t="shared" si="0"/>
        <v>52520.57051820046</v>
      </c>
      <c r="J39" s="176">
        <f t="shared" si="6"/>
        <v>-10</v>
      </c>
      <c r="K39" s="183" t="str">
        <f t="shared" si="3"/>
        <v>hide</v>
      </c>
      <c r="L39" s="183"/>
    </row>
    <row r="40" spans="2:12" s="175" customFormat="1" ht="9" hidden="1" x14ac:dyDescent="0.2">
      <c r="B40" s="176">
        <f t="shared" si="4"/>
        <v>14</v>
      </c>
      <c r="C40" s="177">
        <f t="shared" si="5"/>
        <v>39203</v>
      </c>
      <c r="D40" s="178">
        <f t="shared" si="1"/>
        <v>52520.57051820046</v>
      </c>
      <c r="E40" s="182">
        <f t="shared" si="2"/>
        <v>0</v>
      </c>
      <c r="G40" s="175" t="str">
        <f>IF(AND(MONTH(C40)=MONTH(zEnd_Date_28),zPmt_No_28&lt;zTotal_Payments_28),SUM(E29:E40),IF(zPmt_No_28=zTotal_Payments_28,$E$76-SUM($G$25:G39),""))</f>
        <v/>
      </c>
      <c r="H40" s="182">
        <f t="shared" si="7"/>
        <v>0</v>
      </c>
      <c r="I40" s="178">
        <f t="shared" si="0"/>
        <v>52520.57051820046</v>
      </c>
      <c r="J40" s="176">
        <f t="shared" si="6"/>
        <v>-11</v>
      </c>
      <c r="K40" s="183" t="str">
        <f t="shared" si="3"/>
        <v>hide</v>
      </c>
      <c r="L40" s="183"/>
    </row>
    <row r="41" spans="2:12" s="175" customFormat="1" ht="9" hidden="1" x14ac:dyDescent="0.2">
      <c r="B41" s="176">
        <f t="shared" si="4"/>
        <v>15</v>
      </c>
      <c r="C41" s="177">
        <f t="shared" si="5"/>
        <v>39234</v>
      </c>
      <c r="D41" s="178">
        <f t="shared" si="1"/>
        <v>52520.57051820046</v>
      </c>
      <c r="E41" s="182">
        <f t="shared" si="2"/>
        <v>0</v>
      </c>
      <c r="G41" s="175" t="str">
        <f>IF(AND(MONTH(C41)=MONTH(zEnd_Date_28),zPmt_No_28&lt;zTotal_Payments_28),SUM(E30:E41),IF(zPmt_No_28=zTotal_Payments_28,$E$76-SUM($G$25:G40),""))</f>
        <v/>
      </c>
      <c r="H41" s="182">
        <f t="shared" si="7"/>
        <v>0</v>
      </c>
      <c r="I41" s="178">
        <f t="shared" si="0"/>
        <v>52520.57051820046</v>
      </c>
      <c r="J41" s="176">
        <f t="shared" si="6"/>
        <v>-12</v>
      </c>
      <c r="K41" s="183" t="str">
        <f t="shared" si="3"/>
        <v>hide</v>
      </c>
      <c r="L41" s="183"/>
    </row>
    <row r="42" spans="2:12" s="175" customFormat="1" ht="9" hidden="1" x14ac:dyDescent="0.2">
      <c r="B42" s="176">
        <f t="shared" si="4"/>
        <v>16</v>
      </c>
      <c r="C42" s="177">
        <f t="shared" si="5"/>
        <v>39264</v>
      </c>
      <c r="D42" s="178">
        <f t="shared" si="1"/>
        <v>52520.57051820046</v>
      </c>
      <c r="E42" s="182">
        <f t="shared" si="2"/>
        <v>0</v>
      </c>
      <c r="G42" s="175" t="str">
        <f>IF(AND(MONTH(C42)=MONTH(zEnd_Date_28),zPmt_No_28&lt;zTotal_Payments_28),SUM(E31:E42),IF(zPmt_No_28=zTotal_Payments_28,$E$76-SUM($G$25:G41),""))</f>
        <v/>
      </c>
      <c r="H42" s="182">
        <f t="shared" si="7"/>
        <v>0</v>
      </c>
      <c r="I42" s="178">
        <f t="shared" si="0"/>
        <v>52520.57051820046</v>
      </c>
      <c r="J42" s="176">
        <f t="shared" si="6"/>
        <v>-13</v>
      </c>
      <c r="K42" s="183" t="str">
        <f t="shared" si="3"/>
        <v>hide</v>
      </c>
      <c r="L42" s="183"/>
    </row>
    <row r="43" spans="2:12" s="175" customFormat="1" ht="9" hidden="1" x14ac:dyDescent="0.2">
      <c r="B43" s="176">
        <f t="shared" si="4"/>
        <v>17</v>
      </c>
      <c r="C43" s="177">
        <f t="shared" si="5"/>
        <v>39295</v>
      </c>
      <c r="D43" s="178">
        <f t="shared" si="1"/>
        <v>52520.57051820046</v>
      </c>
      <c r="E43" s="182">
        <f t="shared" si="2"/>
        <v>0</v>
      </c>
      <c r="G43" s="175" t="str">
        <f>IF(AND(MONTH(C43)=MONTH(zEnd_Date_28),zPmt_No_28&lt;zTotal_Payments_28),SUM(E32:E43),IF(zPmt_No_28=zTotal_Payments_28,$E$76-SUM($G$25:G42),""))</f>
        <v/>
      </c>
      <c r="H43" s="182">
        <f t="shared" si="7"/>
        <v>0</v>
      </c>
      <c r="I43" s="178">
        <f t="shared" si="0"/>
        <v>52520.57051820046</v>
      </c>
      <c r="J43" s="176">
        <f t="shared" si="6"/>
        <v>-14</v>
      </c>
      <c r="K43" s="183" t="str">
        <f t="shared" si="3"/>
        <v>hide</v>
      </c>
      <c r="L43" s="183"/>
    </row>
    <row r="44" spans="2:12" s="175" customFormat="1" ht="9" hidden="1" x14ac:dyDescent="0.2">
      <c r="B44" s="176">
        <f t="shared" si="4"/>
        <v>18</v>
      </c>
      <c r="C44" s="177">
        <f t="shared" si="5"/>
        <v>39326</v>
      </c>
      <c r="D44" s="178">
        <f t="shared" si="1"/>
        <v>52520.57051820046</v>
      </c>
      <c r="E44" s="182">
        <f t="shared" si="2"/>
        <v>0</v>
      </c>
      <c r="G44" s="175" t="str">
        <f>IF(AND(MONTH(C44)=MONTH(zEnd_Date_28),zPmt_No_28&lt;zTotal_Payments_28),SUM(E33:E44),IF(zPmt_No_28=zTotal_Payments_28,$E$76-SUM($G$25:G43),""))</f>
        <v/>
      </c>
      <c r="H44" s="182">
        <f t="shared" si="7"/>
        <v>0</v>
      </c>
      <c r="I44" s="178">
        <f t="shared" si="0"/>
        <v>52520.57051820046</v>
      </c>
      <c r="J44" s="176">
        <f t="shared" si="6"/>
        <v>-15</v>
      </c>
      <c r="K44" s="183" t="str">
        <f t="shared" si="3"/>
        <v>hide</v>
      </c>
      <c r="L44" s="183"/>
    </row>
    <row r="45" spans="2:12" s="175" customFormat="1" ht="9" hidden="1" x14ac:dyDescent="0.2">
      <c r="B45" s="176">
        <f t="shared" si="4"/>
        <v>19</v>
      </c>
      <c r="C45" s="177">
        <f t="shared" si="5"/>
        <v>39356</v>
      </c>
      <c r="D45" s="178">
        <f t="shared" si="1"/>
        <v>52520.57051820046</v>
      </c>
      <c r="E45" s="182">
        <f t="shared" si="2"/>
        <v>0</v>
      </c>
      <c r="G45" s="175" t="str">
        <f>IF(AND(MONTH(C45)=MONTH(zEnd_Date_28),zPmt_No_28&lt;zTotal_Payments_28),SUM(E34:E45),IF(zPmt_No_28=zTotal_Payments_28,$E$76-SUM($G$25:G44),""))</f>
        <v/>
      </c>
      <c r="H45" s="182">
        <f t="shared" si="7"/>
        <v>0</v>
      </c>
      <c r="I45" s="178">
        <f t="shared" si="0"/>
        <v>52520.57051820046</v>
      </c>
      <c r="J45" s="176">
        <f t="shared" si="6"/>
        <v>-16</v>
      </c>
      <c r="K45" s="183" t="str">
        <f t="shared" si="3"/>
        <v>hide</v>
      </c>
      <c r="L45" s="183"/>
    </row>
    <row r="46" spans="2:12" s="175" customFormat="1" ht="9" hidden="1" x14ac:dyDescent="0.2">
      <c r="B46" s="176">
        <f t="shared" si="4"/>
        <v>20</v>
      </c>
      <c r="C46" s="177">
        <f t="shared" si="5"/>
        <v>39387</v>
      </c>
      <c r="D46" s="178">
        <f t="shared" si="1"/>
        <v>52520.57051820046</v>
      </c>
      <c r="E46" s="182">
        <f t="shared" si="2"/>
        <v>0</v>
      </c>
      <c r="G46" s="175" t="str">
        <f>IF(AND(MONTH(C46)=MONTH(zEnd_Date_28),zPmt_No_28&lt;zTotal_Payments_28),SUM(E35:E46),IF(zPmt_No_28=zTotal_Payments_28,$E$76-SUM($G$25:G45),""))</f>
        <v/>
      </c>
      <c r="H46" s="182">
        <f t="shared" si="7"/>
        <v>0</v>
      </c>
      <c r="I46" s="178">
        <f t="shared" si="0"/>
        <v>52520.57051820046</v>
      </c>
      <c r="J46" s="176">
        <f t="shared" si="6"/>
        <v>-17</v>
      </c>
      <c r="K46" s="183" t="str">
        <f t="shared" si="3"/>
        <v>hide</v>
      </c>
      <c r="L46" s="183"/>
    </row>
    <row r="47" spans="2:12" s="175" customFormat="1" ht="9" hidden="1" x14ac:dyDescent="0.2">
      <c r="B47" s="176">
        <f t="shared" si="4"/>
        <v>21</v>
      </c>
      <c r="C47" s="177">
        <f t="shared" si="5"/>
        <v>39417</v>
      </c>
      <c r="D47" s="178">
        <f t="shared" si="1"/>
        <v>52520.57051820046</v>
      </c>
      <c r="E47" s="182">
        <f t="shared" si="2"/>
        <v>0</v>
      </c>
      <c r="G47" s="175" t="str">
        <f>IF(AND(MONTH(C47)=MONTH(zEnd_Date_28),zPmt_No_28&lt;zTotal_Payments_28),SUM(E36:E47),IF(zPmt_No_28=zTotal_Payments_28,$E$76-SUM($G$25:G46),""))</f>
        <v/>
      </c>
      <c r="H47" s="182">
        <f t="shared" si="7"/>
        <v>0</v>
      </c>
      <c r="I47" s="178">
        <f t="shared" si="0"/>
        <v>52520.57051820046</v>
      </c>
      <c r="J47" s="176">
        <f t="shared" si="6"/>
        <v>-18</v>
      </c>
      <c r="K47" s="183" t="str">
        <f t="shared" si="3"/>
        <v>hide</v>
      </c>
      <c r="L47" s="183"/>
    </row>
    <row r="48" spans="2:12" s="175" customFormat="1" ht="9" hidden="1" x14ac:dyDescent="0.2">
      <c r="B48" s="176">
        <f t="shared" si="4"/>
        <v>22</v>
      </c>
      <c r="C48" s="177">
        <f t="shared" si="5"/>
        <v>39448</v>
      </c>
      <c r="D48" s="178">
        <f t="shared" si="1"/>
        <v>52520.57051820046</v>
      </c>
      <c r="E48" s="182">
        <f t="shared" si="2"/>
        <v>0</v>
      </c>
      <c r="G48" s="175" t="str">
        <f>IF(AND(MONTH(C48)=MONTH(zEnd_Date_28),zPmt_No_28&lt;zTotal_Payments_28),SUM(E37:E48),IF(zPmt_No_28=zTotal_Payments_28,$E$76-SUM($G$25:G47),""))</f>
        <v/>
      </c>
      <c r="H48" s="182">
        <f t="shared" si="7"/>
        <v>0</v>
      </c>
      <c r="I48" s="178">
        <f t="shared" si="0"/>
        <v>52520.57051820046</v>
      </c>
      <c r="J48" s="176">
        <f t="shared" si="6"/>
        <v>-19</v>
      </c>
      <c r="K48" s="183" t="str">
        <f t="shared" si="3"/>
        <v>hide</v>
      </c>
      <c r="L48" s="183"/>
    </row>
    <row r="49" spans="2:12" s="175" customFormat="1" ht="9" hidden="1" x14ac:dyDescent="0.2">
      <c r="B49" s="176">
        <f t="shared" si="4"/>
        <v>23</v>
      </c>
      <c r="C49" s="177">
        <f t="shared" si="5"/>
        <v>39479</v>
      </c>
      <c r="D49" s="178">
        <f t="shared" si="1"/>
        <v>52520.57051820046</v>
      </c>
      <c r="E49" s="182">
        <f t="shared" si="2"/>
        <v>0</v>
      </c>
      <c r="G49" s="175" t="str">
        <f>IF(AND(MONTH(C49)=MONTH(zEnd_Date_28),zPmt_No_28&lt;zTotal_Payments_28),SUM(E38:E49),IF(zPmt_No_28=zTotal_Payments_28,$E$76-SUM($G$25:G48),""))</f>
        <v/>
      </c>
      <c r="H49" s="182">
        <f t="shared" si="7"/>
        <v>0</v>
      </c>
      <c r="I49" s="178">
        <f t="shared" si="0"/>
        <v>52520.57051820046</v>
      </c>
      <c r="J49" s="176">
        <f t="shared" si="6"/>
        <v>-20</v>
      </c>
      <c r="K49" s="183" t="str">
        <f t="shared" si="3"/>
        <v>hide</v>
      </c>
      <c r="L49" s="183"/>
    </row>
    <row r="50" spans="2:12" s="175" customFormat="1" ht="9" hidden="1" x14ac:dyDescent="0.2">
      <c r="B50" s="176">
        <f t="shared" si="4"/>
        <v>24</v>
      </c>
      <c r="C50" s="177">
        <f t="shared" si="5"/>
        <v>39508</v>
      </c>
      <c r="D50" s="178">
        <f t="shared" si="1"/>
        <v>52520.57051820046</v>
      </c>
      <c r="E50" s="182">
        <f t="shared" si="2"/>
        <v>0</v>
      </c>
      <c r="G50" s="175" t="str">
        <f>IF(AND(MONTH(C50)=MONTH(zEnd_Date_28),zPmt_No_28&lt;zTotal_Payments_28),SUM(E39:E50),IF(zPmt_No_28=zTotal_Payments_28,$E$76-SUM($G$25:G49),""))</f>
        <v/>
      </c>
      <c r="H50" s="182">
        <f t="shared" si="7"/>
        <v>0</v>
      </c>
      <c r="I50" s="178">
        <f t="shared" si="0"/>
        <v>52520.57051820046</v>
      </c>
      <c r="J50" s="176">
        <f t="shared" si="6"/>
        <v>-21</v>
      </c>
      <c r="K50" s="183" t="str">
        <f t="shared" si="3"/>
        <v>hide</v>
      </c>
      <c r="L50" s="183"/>
    </row>
    <row r="51" spans="2:12" s="175" customFormat="1" ht="9" hidden="1" x14ac:dyDescent="0.2">
      <c r="B51" s="176">
        <f t="shared" si="4"/>
        <v>25</v>
      </c>
      <c r="C51" s="177">
        <f t="shared" si="5"/>
        <v>39539</v>
      </c>
      <c r="D51" s="178">
        <f t="shared" si="1"/>
        <v>52520.57051820046</v>
      </c>
      <c r="E51" s="182">
        <f t="shared" si="2"/>
        <v>0</v>
      </c>
      <c r="G51" s="175" t="str">
        <f>IF(AND(MONTH(C51)=MONTH(zEnd_Date_28),zPmt_No_28&lt;zTotal_Payments_28),SUM(E40:E51),IF(zPmt_No_28=zTotal_Payments_28,$E$76-SUM($G$25:G50),""))</f>
        <v/>
      </c>
      <c r="H51" s="182">
        <f t="shared" si="7"/>
        <v>0</v>
      </c>
      <c r="I51" s="178">
        <f t="shared" si="0"/>
        <v>52520.57051820046</v>
      </c>
      <c r="J51" s="176">
        <f t="shared" si="6"/>
        <v>-22</v>
      </c>
      <c r="K51" s="183" t="str">
        <f t="shared" si="3"/>
        <v>hide</v>
      </c>
      <c r="L51" s="183"/>
    </row>
    <row r="52" spans="2:12" s="175" customFormat="1" ht="9" hidden="1" x14ac:dyDescent="0.2">
      <c r="B52" s="176">
        <f t="shared" si="4"/>
        <v>26</v>
      </c>
      <c r="C52" s="177">
        <f t="shared" si="5"/>
        <v>39569</v>
      </c>
      <c r="D52" s="178">
        <f t="shared" si="1"/>
        <v>52520.57051820046</v>
      </c>
      <c r="E52" s="182">
        <f t="shared" si="2"/>
        <v>0</v>
      </c>
      <c r="G52" s="175" t="str">
        <f>IF(AND(MONTH(C52)=MONTH(zEnd_Date_28),zPmt_No_28&lt;zTotal_Payments_28),SUM(E41:E52),IF(zPmt_No_28=zTotal_Payments_28,$E$76-SUM($G$25:G51),""))</f>
        <v/>
      </c>
      <c r="H52" s="182">
        <f t="shared" si="7"/>
        <v>0</v>
      </c>
      <c r="I52" s="178">
        <f t="shared" si="0"/>
        <v>52520.57051820046</v>
      </c>
      <c r="J52" s="176">
        <f t="shared" si="6"/>
        <v>-23</v>
      </c>
      <c r="K52" s="183" t="str">
        <f t="shared" si="3"/>
        <v>hide</v>
      </c>
      <c r="L52" s="183"/>
    </row>
    <row r="53" spans="2:12" s="175" customFormat="1" ht="9" hidden="1" x14ac:dyDescent="0.2">
      <c r="B53" s="176">
        <f t="shared" si="4"/>
        <v>27</v>
      </c>
      <c r="C53" s="177">
        <f t="shared" si="5"/>
        <v>39600</v>
      </c>
      <c r="D53" s="178">
        <f t="shared" si="1"/>
        <v>52520.57051820046</v>
      </c>
      <c r="E53" s="182">
        <f t="shared" si="2"/>
        <v>0</v>
      </c>
      <c r="G53" s="175" t="str">
        <f>IF(AND(MONTH(C53)=MONTH(zEnd_Date_28),zPmt_No_28&lt;zTotal_Payments_28),SUM(E42:E53),IF(zPmt_No_28=zTotal_Payments_28,$E$76-SUM($G$25:G52),""))</f>
        <v/>
      </c>
      <c r="H53" s="182">
        <f t="shared" si="7"/>
        <v>0</v>
      </c>
      <c r="I53" s="178">
        <f t="shared" si="0"/>
        <v>52520.57051820046</v>
      </c>
      <c r="J53" s="176">
        <f t="shared" si="6"/>
        <v>-24</v>
      </c>
      <c r="K53" s="183" t="str">
        <f t="shared" si="3"/>
        <v>hide</v>
      </c>
      <c r="L53" s="183"/>
    </row>
    <row r="54" spans="2:12" s="175" customFormat="1" ht="9" hidden="1" x14ac:dyDescent="0.2">
      <c r="B54" s="176">
        <f t="shared" si="4"/>
        <v>28</v>
      </c>
      <c r="C54" s="177">
        <f t="shared" si="5"/>
        <v>39630</v>
      </c>
      <c r="D54" s="178">
        <f t="shared" si="1"/>
        <v>52520.57051820046</v>
      </c>
      <c r="E54" s="182">
        <f t="shared" si="2"/>
        <v>0</v>
      </c>
      <c r="G54" s="175" t="str">
        <f>IF(AND(MONTH(C54)=MONTH(zEnd_Date_28),zPmt_No_28&lt;zTotal_Payments_28),SUM(E43:E54),IF(zPmt_No_28=zTotal_Payments_28,$E$76-SUM($G$25:G53),""))</f>
        <v/>
      </c>
      <c r="H54" s="182">
        <f t="shared" si="7"/>
        <v>0</v>
      </c>
      <c r="I54" s="178">
        <f t="shared" si="0"/>
        <v>52520.57051820046</v>
      </c>
      <c r="J54" s="176">
        <f t="shared" si="6"/>
        <v>-25</v>
      </c>
      <c r="K54" s="183" t="str">
        <f t="shared" si="3"/>
        <v>hide</v>
      </c>
      <c r="L54" s="183"/>
    </row>
    <row r="55" spans="2:12" s="175" customFormat="1" ht="9" hidden="1" x14ac:dyDescent="0.2">
      <c r="B55" s="176">
        <f t="shared" si="4"/>
        <v>29</v>
      </c>
      <c r="C55" s="177">
        <f t="shared" si="5"/>
        <v>39661</v>
      </c>
      <c r="D55" s="178">
        <f t="shared" si="1"/>
        <v>52520.57051820046</v>
      </c>
      <c r="E55" s="182">
        <f t="shared" si="2"/>
        <v>0</v>
      </c>
      <c r="G55" s="175" t="str">
        <f>IF(AND(MONTH(C55)=MONTH(zEnd_Date_28),zPmt_No_28&lt;zTotal_Payments_28),SUM(E44:E55),IF(zPmt_No_28=zTotal_Payments_28,$E$76-SUM($G$25:G54),""))</f>
        <v/>
      </c>
      <c r="H55" s="182">
        <f t="shared" si="7"/>
        <v>0</v>
      </c>
      <c r="I55" s="178">
        <f t="shared" si="0"/>
        <v>52520.57051820046</v>
      </c>
      <c r="J55" s="176">
        <f t="shared" si="6"/>
        <v>-26</v>
      </c>
      <c r="K55" s="183" t="str">
        <f t="shared" si="3"/>
        <v>hide</v>
      </c>
      <c r="L55" s="183"/>
    </row>
    <row r="56" spans="2:12" s="175" customFormat="1" ht="9" hidden="1" x14ac:dyDescent="0.2">
      <c r="B56" s="176">
        <f t="shared" si="4"/>
        <v>30</v>
      </c>
      <c r="C56" s="177">
        <f t="shared" si="5"/>
        <v>39692</v>
      </c>
      <c r="D56" s="178">
        <f t="shared" si="1"/>
        <v>52520.57051820046</v>
      </c>
      <c r="E56" s="182">
        <f t="shared" si="2"/>
        <v>0</v>
      </c>
      <c r="G56" s="175" t="str">
        <f>IF(AND(MONTH(C56)=MONTH(zEnd_Date_28),zPmt_No_28&lt;zTotal_Payments_28),SUM(E45:E56),IF(zPmt_No_28=zTotal_Payments_28,$E$76-SUM($G$25:G55),""))</f>
        <v/>
      </c>
      <c r="H56" s="182">
        <f t="shared" si="7"/>
        <v>0</v>
      </c>
      <c r="I56" s="178">
        <f t="shared" si="0"/>
        <v>52520.57051820046</v>
      </c>
      <c r="J56" s="176">
        <f t="shared" si="6"/>
        <v>-27</v>
      </c>
      <c r="K56" s="183" t="str">
        <f t="shared" si="3"/>
        <v>hide</v>
      </c>
      <c r="L56" s="183"/>
    </row>
    <row r="57" spans="2:12" s="175" customFormat="1" ht="9" hidden="1" x14ac:dyDescent="0.2">
      <c r="B57" s="176">
        <f t="shared" si="4"/>
        <v>31</v>
      </c>
      <c r="C57" s="177">
        <f t="shared" si="5"/>
        <v>39722</v>
      </c>
      <c r="D57" s="178">
        <f t="shared" si="1"/>
        <v>52520.57051820046</v>
      </c>
      <c r="E57" s="182">
        <f t="shared" si="2"/>
        <v>0</v>
      </c>
      <c r="G57" s="175" t="str">
        <f>IF(AND(MONTH(C57)=MONTH(zEnd_Date_28),zPmt_No_28&lt;zTotal_Payments_28),SUM(E46:E57),IF(zPmt_No_28=zTotal_Payments_28,$E$76-SUM($G$25:G56),""))</f>
        <v/>
      </c>
      <c r="H57" s="182">
        <f t="shared" si="7"/>
        <v>0</v>
      </c>
      <c r="I57" s="178">
        <f t="shared" si="0"/>
        <v>52520.57051820046</v>
      </c>
      <c r="J57" s="176">
        <f t="shared" si="6"/>
        <v>-28</v>
      </c>
      <c r="K57" s="183" t="str">
        <f t="shared" si="3"/>
        <v>hide</v>
      </c>
      <c r="L57" s="183"/>
    </row>
    <row r="58" spans="2:12" s="175" customFormat="1" ht="9" hidden="1" x14ac:dyDescent="0.2">
      <c r="B58" s="176">
        <f t="shared" si="4"/>
        <v>32</v>
      </c>
      <c r="C58" s="177">
        <f t="shared" si="5"/>
        <v>39753</v>
      </c>
      <c r="D58" s="178">
        <f t="shared" si="1"/>
        <v>52520.57051820046</v>
      </c>
      <c r="E58" s="182">
        <f t="shared" si="2"/>
        <v>0</v>
      </c>
      <c r="G58" s="175" t="str">
        <f>IF(AND(MONTH(C58)=MONTH(zEnd_Date_28),zPmt_No_28&lt;zTotal_Payments_28),SUM(E47:E58),IF(zPmt_No_28=zTotal_Payments_28,$E$76-SUM($G$25:G57),""))</f>
        <v/>
      </c>
      <c r="H58" s="182">
        <f t="shared" si="7"/>
        <v>0</v>
      </c>
      <c r="I58" s="178">
        <f t="shared" ref="I58:I74" si="8">+D58+E58-H58</f>
        <v>52520.57051820046</v>
      </c>
      <c r="J58" s="176">
        <f t="shared" si="6"/>
        <v>-29</v>
      </c>
      <c r="K58" s="183" t="str">
        <f t="shared" si="3"/>
        <v>hide</v>
      </c>
      <c r="L58" s="183"/>
    </row>
    <row r="59" spans="2:12" s="175" customFormat="1" ht="9" hidden="1" x14ac:dyDescent="0.2">
      <c r="B59" s="176">
        <f t="shared" si="4"/>
        <v>33</v>
      </c>
      <c r="C59" s="177">
        <f t="shared" si="5"/>
        <v>39783</v>
      </c>
      <c r="D59" s="178">
        <f t="shared" si="1"/>
        <v>52520.57051820046</v>
      </c>
      <c r="E59" s="182">
        <f t="shared" si="2"/>
        <v>0</v>
      </c>
      <c r="G59" s="175" t="str">
        <f>IF(AND(MONTH(C59)=MONTH(zEnd_Date_28),zPmt_No_28&lt;zTotal_Payments_28),SUM(E48:E59),IF(zPmt_No_28=zTotal_Payments_28,$E$76-SUM($G$25:G58),""))</f>
        <v/>
      </c>
      <c r="H59" s="182">
        <f t="shared" si="7"/>
        <v>0</v>
      </c>
      <c r="I59" s="178">
        <f t="shared" si="8"/>
        <v>52520.57051820046</v>
      </c>
      <c r="J59" s="176">
        <f t="shared" si="6"/>
        <v>-30</v>
      </c>
      <c r="K59" s="183" t="str">
        <f t="shared" si="3"/>
        <v>hide</v>
      </c>
      <c r="L59" s="183"/>
    </row>
    <row r="60" spans="2:12" s="175" customFormat="1" ht="9" hidden="1" x14ac:dyDescent="0.2">
      <c r="B60" s="176">
        <f t="shared" si="4"/>
        <v>34</v>
      </c>
      <c r="C60" s="177">
        <f t="shared" si="5"/>
        <v>39814</v>
      </c>
      <c r="D60" s="178">
        <f t="shared" si="1"/>
        <v>52520.57051820046</v>
      </c>
      <c r="E60" s="182">
        <f t="shared" si="2"/>
        <v>0</v>
      </c>
      <c r="G60" s="175" t="str">
        <f>IF(AND(MONTH(C60)=MONTH(zEnd_Date_28),zPmt_No_28&lt;zTotal_Payments_28),SUM(E49:E60),IF(zPmt_No_28=zTotal_Payments_28,$E$76-SUM($G$25:G59),""))</f>
        <v/>
      </c>
      <c r="H60" s="182">
        <f t="shared" si="7"/>
        <v>0</v>
      </c>
      <c r="I60" s="178">
        <f t="shared" si="8"/>
        <v>52520.57051820046</v>
      </c>
      <c r="J60" s="176">
        <f t="shared" si="6"/>
        <v>-31</v>
      </c>
      <c r="K60" s="183" t="str">
        <f t="shared" si="3"/>
        <v>hide</v>
      </c>
      <c r="L60" s="183"/>
    </row>
    <row r="61" spans="2:12" s="175" customFormat="1" ht="9" hidden="1" x14ac:dyDescent="0.2">
      <c r="B61" s="176">
        <f t="shared" si="4"/>
        <v>35</v>
      </c>
      <c r="C61" s="177">
        <f t="shared" si="5"/>
        <v>39845</v>
      </c>
      <c r="D61" s="178">
        <f t="shared" si="1"/>
        <v>52520.57051820046</v>
      </c>
      <c r="E61" s="182">
        <f t="shared" si="2"/>
        <v>0</v>
      </c>
      <c r="G61" s="175" t="str">
        <f>IF(AND(MONTH(C61)=MONTH(zEnd_Date_28),zPmt_No_28&lt;zTotal_Payments_28),SUM(E50:E61),IF(zPmt_No_28=zTotal_Payments_28,$E$76-SUM($G$25:G60),""))</f>
        <v/>
      </c>
      <c r="H61" s="182">
        <f t="shared" si="7"/>
        <v>0</v>
      </c>
      <c r="I61" s="178">
        <f t="shared" si="8"/>
        <v>52520.57051820046</v>
      </c>
      <c r="J61" s="176">
        <f t="shared" si="6"/>
        <v>-32</v>
      </c>
      <c r="K61" s="183" t="str">
        <f t="shared" si="3"/>
        <v>hide</v>
      </c>
      <c r="L61" s="183"/>
    </row>
    <row r="62" spans="2:12" s="175" customFormat="1" ht="9" hidden="1" x14ac:dyDescent="0.2">
      <c r="B62" s="176">
        <f t="shared" si="4"/>
        <v>36</v>
      </c>
      <c r="C62" s="177">
        <f t="shared" si="5"/>
        <v>39873</v>
      </c>
      <c r="D62" s="178">
        <f t="shared" si="1"/>
        <v>52520.57051820046</v>
      </c>
      <c r="E62" s="182">
        <f t="shared" si="2"/>
        <v>0</v>
      </c>
      <c r="G62" s="175" t="str">
        <f>IF(AND(MONTH(C62)=MONTH(zEnd_Date_28),zPmt_No_28&lt;zTotal_Payments_28),SUM(E51:E62),IF(zPmt_No_28=zTotal_Payments_28,$E$76-SUM($G$25:G61),""))</f>
        <v/>
      </c>
      <c r="H62" s="182">
        <f t="shared" si="7"/>
        <v>0</v>
      </c>
      <c r="I62" s="178">
        <f t="shared" si="8"/>
        <v>52520.57051820046</v>
      </c>
      <c r="J62" s="176">
        <f t="shared" si="6"/>
        <v>-33</v>
      </c>
      <c r="K62" s="183" t="str">
        <f t="shared" si="3"/>
        <v>hide</v>
      </c>
      <c r="L62" s="183"/>
    </row>
    <row r="63" spans="2:12" s="175" customFormat="1" ht="9" hidden="1" x14ac:dyDescent="0.2">
      <c r="B63" s="176">
        <f t="shared" si="4"/>
        <v>37</v>
      </c>
      <c r="C63" s="177">
        <f t="shared" si="5"/>
        <v>39904</v>
      </c>
      <c r="D63" s="178">
        <f t="shared" si="1"/>
        <v>52520.57051820046</v>
      </c>
      <c r="E63" s="182">
        <f t="shared" si="2"/>
        <v>0</v>
      </c>
      <c r="G63" s="175" t="str">
        <f>IF(AND(MONTH(C63)=MONTH(zEnd_Date_28),zPmt_No_28&lt;zTotal_Payments_28),SUM(E52:E63),IF(zPmt_No_28=zTotal_Payments_28,$E$76-SUM($G$25:G62),""))</f>
        <v/>
      </c>
      <c r="H63" s="182">
        <f t="shared" si="7"/>
        <v>0</v>
      </c>
      <c r="I63" s="178">
        <f t="shared" si="8"/>
        <v>52520.57051820046</v>
      </c>
      <c r="J63" s="176">
        <f t="shared" si="6"/>
        <v>-34</v>
      </c>
      <c r="K63" s="183" t="str">
        <f t="shared" si="3"/>
        <v>hide</v>
      </c>
      <c r="L63" s="183"/>
    </row>
    <row r="64" spans="2:12" s="175" customFormat="1" ht="9" hidden="1" x14ac:dyDescent="0.2">
      <c r="B64" s="176">
        <f t="shared" si="4"/>
        <v>38</v>
      </c>
      <c r="C64" s="177">
        <f t="shared" si="5"/>
        <v>39934</v>
      </c>
      <c r="D64" s="178">
        <f t="shared" si="1"/>
        <v>52520.57051820046</v>
      </c>
      <c r="E64" s="182">
        <f t="shared" si="2"/>
        <v>0</v>
      </c>
      <c r="G64" s="175" t="str">
        <f>IF(AND(MONTH(C64)=MONTH(zEnd_Date_28),zPmt_No_28&lt;zTotal_Payments_28),SUM(E53:E64),IF(zPmt_No_28=zTotal_Payments_28,$E$76-SUM($G$25:G63),""))</f>
        <v/>
      </c>
      <c r="H64" s="182">
        <f t="shared" si="7"/>
        <v>0</v>
      </c>
      <c r="I64" s="178">
        <f t="shared" si="8"/>
        <v>52520.57051820046</v>
      </c>
      <c r="J64" s="176">
        <f t="shared" si="6"/>
        <v>-35</v>
      </c>
      <c r="K64" s="183" t="str">
        <f t="shared" si="3"/>
        <v>hide</v>
      </c>
      <c r="L64" s="183"/>
    </row>
    <row r="65" spans="2:12" s="175" customFormat="1" ht="9" hidden="1" x14ac:dyDescent="0.2">
      <c r="B65" s="176">
        <f t="shared" si="4"/>
        <v>39</v>
      </c>
      <c r="C65" s="177">
        <f t="shared" si="5"/>
        <v>39965</v>
      </c>
      <c r="D65" s="178">
        <f t="shared" si="1"/>
        <v>52520.57051820046</v>
      </c>
      <c r="E65" s="182">
        <f t="shared" si="2"/>
        <v>0</v>
      </c>
      <c r="G65" s="175" t="str">
        <f>IF(AND(MONTH(C65)=MONTH(zEnd_Date_28),zPmt_No_28&lt;zTotal_Payments_28),SUM(E54:E65),IF(zPmt_No_28=zTotal_Payments_28,$E$76-SUM($G$25:G64),""))</f>
        <v/>
      </c>
      <c r="H65" s="182">
        <f t="shared" si="7"/>
        <v>0</v>
      </c>
      <c r="I65" s="178">
        <f t="shared" si="8"/>
        <v>52520.57051820046</v>
      </c>
      <c r="J65" s="176">
        <f t="shared" si="6"/>
        <v>-36</v>
      </c>
      <c r="K65" s="183" t="str">
        <f t="shared" si="3"/>
        <v>hide</v>
      </c>
      <c r="L65" s="183"/>
    </row>
    <row r="66" spans="2:12" s="175" customFormat="1" ht="9" hidden="1" x14ac:dyDescent="0.2">
      <c r="B66" s="176">
        <f t="shared" si="4"/>
        <v>40</v>
      </c>
      <c r="C66" s="177">
        <f t="shared" si="5"/>
        <v>39995</v>
      </c>
      <c r="D66" s="178">
        <f t="shared" si="1"/>
        <v>52520.57051820046</v>
      </c>
      <c r="E66" s="182">
        <f t="shared" si="2"/>
        <v>0</v>
      </c>
      <c r="G66" s="175" t="str">
        <f>IF(AND(MONTH(C66)=MONTH(zEnd_Date_28),zPmt_No_28&lt;zTotal_Payments_28),SUM(E55:E66),IF(zPmt_No_28=zTotal_Payments_28,$E$76-SUM($G$25:G65),""))</f>
        <v/>
      </c>
      <c r="H66" s="182">
        <f t="shared" si="7"/>
        <v>0</v>
      </c>
      <c r="I66" s="178">
        <f t="shared" si="8"/>
        <v>52520.57051820046</v>
      </c>
      <c r="J66" s="176">
        <f t="shared" si="6"/>
        <v>-37</v>
      </c>
      <c r="K66" s="183" t="str">
        <f t="shared" si="3"/>
        <v>hide</v>
      </c>
      <c r="L66" s="183"/>
    </row>
    <row r="67" spans="2:12" s="175" customFormat="1" ht="9" hidden="1" x14ac:dyDescent="0.2">
      <c r="B67" s="176">
        <f t="shared" si="4"/>
        <v>41</v>
      </c>
      <c r="C67" s="177">
        <f t="shared" si="5"/>
        <v>40026</v>
      </c>
      <c r="D67" s="178">
        <f t="shared" si="1"/>
        <v>52520.57051820046</v>
      </c>
      <c r="E67" s="182">
        <f t="shared" si="2"/>
        <v>0</v>
      </c>
      <c r="G67" s="175" t="str">
        <f>IF(AND(MONTH(C67)=MONTH(zEnd_Date_28),zPmt_No_28&lt;zTotal_Payments_28),SUM(E56:E67),IF(zPmt_No_28=zTotal_Payments_28,$E$76-SUM($G$25:G66),""))</f>
        <v/>
      </c>
      <c r="H67" s="182">
        <f t="shared" si="7"/>
        <v>0</v>
      </c>
      <c r="I67" s="178">
        <f t="shared" si="8"/>
        <v>52520.57051820046</v>
      </c>
      <c r="J67" s="176">
        <f t="shared" si="6"/>
        <v>-38</v>
      </c>
      <c r="K67" s="183" t="str">
        <f t="shared" si="3"/>
        <v>hide</v>
      </c>
      <c r="L67" s="183"/>
    </row>
    <row r="68" spans="2:12" s="175" customFormat="1" ht="9" hidden="1" x14ac:dyDescent="0.2">
      <c r="B68" s="176">
        <f t="shared" si="4"/>
        <v>42</v>
      </c>
      <c r="C68" s="177">
        <f t="shared" si="5"/>
        <v>40057</v>
      </c>
      <c r="D68" s="178">
        <f t="shared" si="1"/>
        <v>52520.57051820046</v>
      </c>
      <c r="E68" s="182">
        <f t="shared" si="2"/>
        <v>0</v>
      </c>
      <c r="G68" s="175" t="str">
        <f>IF(AND(MONTH(C68)=MONTH(zEnd_Date_28),zPmt_No_28&lt;zTotal_Payments_28),SUM(E57:E68),IF(zPmt_No_28=zTotal_Payments_28,$E$76-SUM($G$25:G67),""))</f>
        <v/>
      </c>
      <c r="H68" s="182">
        <f t="shared" si="7"/>
        <v>0</v>
      </c>
      <c r="I68" s="178">
        <f t="shared" si="8"/>
        <v>52520.57051820046</v>
      </c>
      <c r="J68" s="176">
        <f t="shared" si="6"/>
        <v>-39</v>
      </c>
      <c r="K68" s="183" t="str">
        <f t="shared" si="3"/>
        <v>hide</v>
      </c>
      <c r="L68" s="183"/>
    </row>
    <row r="69" spans="2:12" s="175" customFormat="1" ht="9" hidden="1" x14ac:dyDescent="0.2">
      <c r="B69" s="176">
        <f t="shared" si="4"/>
        <v>43</v>
      </c>
      <c r="C69" s="177">
        <f t="shared" si="5"/>
        <v>40087</v>
      </c>
      <c r="D69" s="178">
        <f t="shared" si="1"/>
        <v>52520.57051820046</v>
      </c>
      <c r="E69" s="182">
        <f t="shared" si="2"/>
        <v>0</v>
      </c>
      <c r="G69" s="175" t="str">
        <f>IF(AND(MONTH(C69)=MONTH(zEnd_Date_28),zPmt_No_28&lt;zTotal_Payments_28),SUM(E58:E69),IF(zPmt_No_28=zTotal_Payments_28,$E$76-SUM($G$25:G68),""))</f>
        <v/>
      </c>
      <c r="H69" s="182">
        <f t="shared" si="7"/>
        <v>0</v>
      </c>
      <c r="I69" s="178">
        <f t="shared" si="8"/>
        <v>52520.57051820046</v>
      </c>
      <c r="J69" s="176">
        <f t="shared" si="6"/>
        <v>-40</v>
      </c>
      <c r="K69" s="183" t="str">
        <f t="shared" si="3"/>
        <v>hide</v>
      </c>
      <c r="L69" s="183"/>
    </row>
    <row r="70" spans="2:12" s="175" customFormat="1" ht="9" hidden="1" x14ac:dyDescent="0.2">
      <c r="B70" s="176">
        <f t="shared" si="4"/>
        <v>44</v>
      </c>
      <c r="C70" s="177">
        <f t="shared" si="5"/>
        <v>40118</v>
      </c>
      <c r="D70" s="178">
        <f t="shared" si="1"/>
        <v>52520.57051820046</v>
      </c>
      <c r="E70" s="182">
        <f t="shared" si="2"/>
        <v>0</v>
      </c>
      <c r="G70" s="175" t="str">
        <f>IF(AND(MONTH(C70)=MONTH(zEnd_Date_28),zPmt_No_28&lt;zTotal_Payments_28),SUM(E59:E70),IF(zPmt_No_28=zTotal_Payments_28,$E$76-SUM($G$25:G69),""))</f>
        <v/>
      </c>
      <c r="H70" s="182">
        <f t="shared" si="7"/>
        <v>0</v>
      </c>
      <c r="I70" s="178">
        <f t="shared" si="8"/>
        <v>52520.57051820046</v>
      </c>
      <c r="J70" s="176">
        <f t="shared" si="6"/>
        <v>-41</v>
      </c>
      <c r="K70" s="183" t="str">
        <f t="shared" si="3"/>
        <v>hide</v>
      </c>
      <c r="L70" s="183"/>
    </row>
    <row r="71" spans="2:12" s="175" customFormat="1" ht="9" hidden="1" x14ac:dyDescent="0.2">
      <c r="B71" s="176">
        <f t="shared" si="4"/>
        <v>45</v>
      </c>
      <c r="C71" s="177">
        <f t="shared" si="5"/>
        <v>40148</v>
      </c>
      <c r="D71" s="178">
        <f t="shared" si="1"/>
        <v>52520.57051820046</v>
      </c>
      <c r="E71" s="182">
        <f t="shared" si="2"/>
        <v>0</v>
      </c>
      <c r="G71" s="175" t="str">
        <f>IF(AND(MONTH(C71)=MONTH(zEnd_Date_28),zPmt_No_28&lt;zTotal_Payments_28),SUM(E60:E71),IF(zPmt_No_28=zTotal_Payments_28,$E$76-SUM($G$25:G70),""))</f>
        <v/>
      </c>
      <c r="H71" s="182">
        <f t="shared" si="7"/>
        <v>0</v>
      </c>
      <c r="I71" s="178">
        <f t="shared" si="8"/>
        <v>52520.57051820046</v>
      </c>
      <c r="J71" s="176">
        <f t="shared" si="6"/>
        <v>-42</v>
      </c>
      <c r="K71" s="183" t="str">
        <f t="shared" si="3"/>
        <v>hide</v>
      </c>
      <c r="L71" s="183"/>
    </row>
    <row r="72" spans="2:12" s="175" customFormat="1" ht="9" hidden="1" x14ac:dyDescent="0.2">
      <c r="B72" s="176">
        <f t="shared" si="4"/>
        <v>46</v>
      </c>
      <c r="C72" s="177">
        <f t="shared" si="5"/>
        <v>40179</v>
      </c>
      <c r="D72" s="178">
        <f t="shared" si="1"/>
        <v>52520.57051820046</v>
      </c>
      <c r="E72" s="182">
        <f t="shared" si="2"/>
        <v>0</v>
      </c>
      <c r="G72" s="175" t="str">
        <f>IF(AND(MONTH(C72)=MONTH(zEnd_Date_28),zPmt_No_28&lt;zTotal_Payments_28),SUM(E61:E72),IF(zPmt_No_28=zTotal_Payments_28,$E$76-SUM($G$25:G71),""))</f>
        <v/>
      </c>
      <c r="H72" s="182">
        <f t="shared" si="7"/>
        <v>0</v>
      </c>
      <c r="I72" s="178">
        <f t="shared" si="8"/>
        <v>52520.57051820046</v>
      </c>
      <c r="J72" s="176">
        <f t="shared" si="6"/>
        <v>-43</v>
      </c>
      <c r="K72" s="183" t="str">
        <f t="shared" si="3"/>
        <v>hide</v>
      </c>
      <c r="L72" s="183"/>
    </row>
    <row r="73" spans="2:12" s="175" customFormat="1" ht="9" hidden="1" x14ac:dyDescent="0.2">
      <c r="B73" s="176">
        <f t="shared" si="4"/>
        <v>47</v>
      </c>
      <c r="C73" s="177">
        <f t="shared" si="5"/>
        <v>40210</v>
      </c>
      <c r="D73" s="178">
        <f t="shared" si="1"/>
        <v>52520.57051820046</v>
      </c>
      <c r="E73" s="182">
        <f t="shared" si="2"/>
        <v>0</v>
      </c>
      <c r="G73" s="175" t="str">
        <f>IF(AND(MONTH(C73)=MONTH(zEnd_Date_28),zPmt_No_28&lt;zTotal_Payments_28),SUM(E62:E73),IF(zPmt_No_28=zTotal_Payments_28,$E$76-SUM($G$25:G72),""))</f>
        <v/>
      </c>
      <c r="H73" s="182">
        <f t="shared" si="7"/>
        <v>0</v>
      </c>
      <c r="I73" s="178">
        <f t="shared" si="8"/>
        <v>52520.57051820046</v>
      </c>
      <c r="J73" s="176">
        <f t="shared" si="6"/>
        <v>-44</v>
      </c>
      <c r="K73" s="183" t="str">
        <f t="shared" si="3"/>
        <v>hide</v>
      </c>
      <c r="L73" s="183"/>
    </row>
    <row r="74" spans="2:12" s="175" customFormat="1" ht="9" hidden="1" x14ac:dyDescent="0.2">
      <c r="B74" s="176">
        <f t="shared" si="4"/>
        <v>48</v>
      </c>
      <c r="C74" s="177">
        <f t="shared" si="5"/>
        <v>40238</v>
      </c>
      <c r="D74" s="178">
        <f t="shared" si="1"/>
        <v>52520.57051820046</v>
      </c>
      <c r="E74" s="182">
        <f t="shared" si="2"/>
        <v>0</v>
      </c>
      <c r="G74" s="175" t="str">
        <f>IF(AND(MONTH(C74)=MONTH(zEnd_Date_28),zPmt_No_28&lt;zTotal_Payments_28),SUM(E63:E74),IF(zPmt_No_28=zTotal_Payments_28,$E$76-SUM($G$25:G73),""))</f>
        <v/>
      </c>
      <c r="H74" s="182">
        <f t="shared" si="7"/>
        <v>0</v>
      </c>
      <c r="I74" s="178">
        <f t="shared" si="8"/>
        <v>52520.57051820046</v>
      </c>
      <c r="J74" s="176">
        <f t="shared" si="6"/>
        <v>-45</v>
      </c>
      <c r="K74" s="183" t="str">
        <f t="shared" si="3"/>
        <v>hide</v>
      </c>
      <c r="L74" s="183"/>
    </row>
    <row r="75" spans="2:12" s="175" customFormat="1" ht="9" x14ac:dyDescent="0.2">
      <c r="B75" s="171"/>
      <c r="C75" s="184"/>
      <c r="D75" s="185"/>
      <c r="E75" s="185"/>
      <c r="H75" s="185"/>
      <c r="I75" s="185"/>
      <c r="J75" s="171"/>
      <c r="K75" s="185"/>
      <c r="L75" s="185"/>
    </row>
    <row r="76" spans="2:12" s="170" customFormat="1" ht="19.5" customHeight="1" x14ac:dyDescent="0.25">
      <c r="B76" s="186"/>
      <c r="C76" s="187"/>
      <c r="D76" s="188"/>
      <c r="E76" s="189">
        <f>SUM(E26:E75)</f>
        <v>15123.450518200543</v>
      </c>
      <c r="F76" s="189"/>
      <c r="G76" s="189">
        <f>SUM(G26:G75)</f>
        <v>15123.450518200543</v>
      </c>
      <c r="H76" s="189">
        <f>SUM(H26:H75)</f>
        <v>262602.88</v>
      </c>
      <c r="I76" s="188"/>
      <c r="J76" s="190"/>
      <c r="K76" s="191"/>
      <c r="L76" s="191"/>
    </row>
    <row r="77" spans="2:12" s="192" customFormat="1" ht="11.5" x14ac:dyDescent="0.25">
      <c r="B77" s="193"/>
      <c r="C77" s="193"/>
      <c r="D77" s="194"/>
      <c r="E77" s="194"/>
      <c r="F77" s="195"/>
      <c r="G77" s="195"/>
      <c r="H77" s="195"/>
      <c r="I77" s="194"/>
      <c r="J77" s="193"/>
      <c r="K77" s="196"/>
      <c r="L77" s="196"/>
    </row>
    <row r="78" spans="2:12" s="197" customFormat="1" ht="13" x14ac:dyDescent="0.3">
      <c r="B78" s="198"/>
      <c r="C78" s="198"/>
      <c r="D78" s="198"/>
      <c r="E78" s="199"/>
      <c r="F78" s="199"/>
      <c r="G78" s="200"/>
      <c r="H78" s="200"/>
      <c r="I78" s="200"/>
      <c r="J78" s="199"/>
      <c r="K78" s="75"/>
      <c r="L78" s="75"/>
    </row>
  </sheetData>
  <autoFilter ref="K24:K74">
    <filterColumn colId="0">
      <customFilters and="1">
        <customFilter operator="equal" val=""/>
      </customFilters>
    </filterColumn>
  </autoFilter>
  <dataValidations count="3">
    <dataValidation type="date" errorStyle="warning" allowBlank="1" showErrorMessage="1" errorTitle="GS - Message" error="Are you sure you want to enter this value" sqref="C3:C4">
      <formula1>34700</formula1>
      <formula2>38717</formula2>
    </dataValidation>
    <dataValidation type="whole" errorStyle="warning" allowBlank="1" showErrorMessage="1" errorTitle="GS - Message" error="Are you sure you want to overwrite these cells" sqref="O1:O6 A2:A5 J2:J5 N2:O5">
      <formula1>0</formula1>
      <formula2>0</formula2>
    </dataValidation>
    <dataValidation type="date" errorStyle="warning" allowBlank="1" showErrorMessage="1" errorTitle="GS - Message" error="The Start date is not within the Accounting Period" sqref="E14 E16:E17">
      <formula1>C1</formula1>
      <formula2>C2</formula2>
    </dataValidation>
  </dataValidation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04"/>
  <sheetViews>
    <sheetView zoomScaleSheetLayoutView="75" workbookViewId="0">
      <pane xSplit="2" ySplit="7" topLeftCell="C8" activePane="bottomRight" state="frozen"/>
      <selection pane="topRight" activeCell="C1" sqref="C1"/>
      <selection pane="bottomLeft" activeCell="A58" sqref="A58"/>
      <selection pane="bottomRight"/>
    </sheetView>
  </sheetViews>
  <sheetFormatPr defaultRowHeight="13" x14ac:dyDescent="0.3"/>
  <cols>
    <col min="1" max="1" width="2.453125" customWidth="1"/>
    <col min="2" max="2" width="28.81640625" customWidth="1"/>
    <col min="3" max="3" width="10.7265625" style="1" customWidth="1"/>
    <col min="4" max="4" width="12.453125" style="1" customWidth="1"/>
    <col min="5" max="5" width="13.26953125" style="2" customWidth="1"/>
    <col min="6" max="6" width="3.7265625" customWidth="1"/>
    <col min="7" max="7" width="12.7265625" style="3" customWidth="1"/>
  </cols>
  <sheetData>
    <row r="1" spans="1:7" ht="15.5" x14ac:dyDescent="0.35">
      <c r="A1" s="4" t="s">
        <v>239</v>
      </c>
      <c r="B1" s="5"/>
    </row>
    <row r="2" spans="1:7" ht="15.5" x14ac:dyDescent="0.35">
      <c r="A2" s="4" t="s">
        <v>1</v>
      </c>
      <c r="B2" s="5"/>
    </row>
    <row r="3" spans="1:7" ht="15.5" x14ac:dyDescent="0.35">
      <c r="A3" s="4" t="s">
        <v>59</v>
      </c>
      <c r="B3" s="5"/>
    </row>
    <row r="5" spans="1:7" s="1" customFormat="1" x14ac:dyDescent="0.3">
      <c r="C5" s="8" t="s">
        <v>60</v>
      </c>
      <c r="D5" s="8" t="s">
        <v>61</v>
      </c>
      <c r="E5" s="8" t="s">
        <v>62</v>
      </c>
      <c r="G5" s="8" t="s">
        <v>3</v>
      </c>
    </row>
    <row r="6" spans="1:7" s="9" customFormat="1" x14ac:dyDescent="0.3">
      <c r="C6" s="7">
        <v>2006</v>
      </c>
      <c r="D6" s="7">
        <v>2006</v>
      </c>
      <c r="E6" s="7">
        <v>2006</v>
      </c>
      <c r="G6" s="7">
        <v>2006</v>
      </c>
    </row>
    <row r="7" spans="1:7" s="9" customFormat="1" ht="15.5" x14ac:dyDescent="0.35">
      <c r="A7" s="4" t="s">
        <v>7</v>
      </c>
      <c r="C7" s="7"/>
      <c r="D7" s="7"/>
      <c r="E7" s="7"/>
      <c r="G7" s="12"/>
    </row>
    <row r="8" spans="1:7" x14ac:dyDescent="0.3">
      <c r="B8" t="s">
        <v>8</v>
      </c>
      <c r="C8" s="13">
        <f>'P_L Workings'!C46</f>
        <v>0</v>
      </c>
      <c r="D8" s="13">
        <f>'P_L Workings'!D46</f>
        <v>0</v>
      </c>
      <c r="E8" s="13">
        <f>'P_L Workings'!E46</f>
        <v>329000</v>
      </c>
      <c r="G8" s="2">
        <f t="shared" ref="G8:G17" si="0">SUM(C8:E8)</f>
        <v>329000</v>
      </c>
    </row>
    <row r="9" spans="1:7" x14ac:dyDescent="0.3">
      <c r="B9" t="s">
        <v>9</v>
      </c>
      <c r="C9" s="13">
        <f>'P_L Workings'!C69</f>
        <v>0</v>
      </c>
      <c r="D9" s="13">
        <f>'P_L Workings'!D69</f>
        <v>0</v>
      </c>
      <c r="E9" s="13">
        <f>'P_L Workings'!E69</f>
        <v>2310</v>
      </c>
      <c r="G9" s="2">
        <f t="shared" si="0"/>
        <v>2310</v>
      </c>
    </row>
    <row r="10" spans="1:7" hidden="1" x14ac:dyDescent="0.3">
      <c r="B10" t="s">
        <v>10</v>
      </c>
      <c r="C10" s="13"/>
      <c r="D10" s="13"/>
      <c r="E10" s="16"/>
      <c r="G10" s="2">
        <f t="shared" si="0"/>
        <v>0</v>
      </c>
    </row>
    <row r="11" spans="1:7" hidden="1" x14ac:dyDescent="0.3">
      <c r="B11" t="s">
        <v>11</v>
      </c>
      <c r="C11" s="13"/>
      <c r="D11" s="13"/>
      <c r="E11" s="16"/>
      <c r="G11" s="2">
        <f t="shared" si="0"/>
        <v>0</v>
      </c>
    </row>
    <row r="12" spans="1:7" hidden="1" x14ac:dyDescent="0.3">
      <c r="B12" t="s">
        <v>12</v>
      </c>
      <c r="C12" s="13"/>
      <c r="D12" s="13"/>
      <c r="E12" s="16"/>
      <c r="G12" s="2">
        <f t="shared" si="0"/>
        <v>0</v>
      </c>
    </row>
    <row r="13" spans="1:7" hidden="1" x14ac:dyDescent="0.3">
      <c r="B13" t="s">
        <v>13</v>
      </c>
      <c r="C13" s="13"/>
      <c r="D13" s="13"/>
      <c r="E13" s="16"/>
      <c r="G13" s="2">
        <f t="shared" si="0"/>
        <v>0</v>
      </c>
    </row>
    <row r="14" spans="1:7" hidden="1" x14ac:dyDescent="0.3">
      <c r="B14" t="s">
        <v>14</v>
      </c>
      <c r="C14" s="13"/>
      <c r="D14" s="13"/>
      <c r="E14" s="16"/>
      <c r="G14" s="2">
        <f t="shared" si="0"/>
        <v>0</v>
      </c>
    </row>
    <row r="15" spans="1:7" hidden="1" x14ac:dyDescent="0.3">
      <c r="B15" t="s">
        <v>15</v>
      </c>
      <c r="C15" s="13"/>
      <c r="D15" s="13"/>
      <c r="E15" s="16"/>
      <c r="G15" s="2">
        <f t="shared" si="0"/>
        <v>0</v>
      </c>
    </row>
    <row r="16" spans="1:7" hidden="1" x14ac:dyDescent="0.3">
      <c r="B16" t="s">
        <v>16</v>
      </c>
      <c r="C16" s="13"/>
      <c r="D16" s="13"/>
      <c r="E16" s="16"/>
      <c r="G16" s="2">
        <f t="shared" si="0"/>
        <v>0</v>
      </c>
    </row>
    <row r="17" spans="1:7" x14ac:dyDescent="0.3">
      <c r="B17" t="s">
        <v>17</v>
      </c>
      <c r="C17" s="13"/>
      <c r="D17" s="13"/>
      <c r="E17" s="23"/>
      <c r="G17" s="2">
        <f t="shared" si="0"/>
        <v>0</v>
      </c>
    </row>
    <row r="18" spans="1:7" ht="14" x14ac:dyDescent="0.3">
      <c r="A18" s="14" t="s">
        <v>18</v>
      </c>
      <c r="C18" s="15">
        <f>SUM(C8:C17)</f>
        <v>0</v>
      </c>
      <c r="D18" s="15">
        <f>SUM(D8:D17)</f>
        <v>0</v>
      </c>
      <c r="E18" s="15">
        <f>SUM(E8:E17)</f>
        <v>331310</v>
      </c>
      <c r="G18" s="15">
        <f>SUM(G8:G17)</f>
        <v>331310</v>
      </c>
    </row>
    <row r="19" spans="1:7" x14ac:dyDescent="0.3">
      <c r="C19" s="13"/>
      <c r="D19" s="13"/>
      <c r="E19" s="16"/>
    </row>
    <row r="20" spans="1:7" ht="15.5" x14ac:dyDescent="0.35">
      <c r="A20" s="4" t="s">
        <v>19</v>
      </c>
      <c r="C20" s="13"/>
      <c r="D20" s="13"/>
      <c r="E20" s="16"/>
    </row>
    <row r="21" spans="1:7" ht="6" customHeight="1" x14ac:dyDescent="0.35">
      <c r="A21" s="4"/>
      <c r="C21" s="13"/>
      <c r="D21" s="13"/>
      <c r="E21" s="16"/>
    </row>
    <row r="22" spans="1:7" ht="15.5" x14ac:dyDescent="0.35">
      <c r="A22" s="17" t="s">
        <v>20</v>
      </c>
      <c r="C22" s="13"/>
      <c r="D22" s="13"/>
      <c r="E22" s="16"/>
    </row>
    <row r="23" spans="1:7" x14ac:dyDescent="0.3">
      <c r="B23" t="s">
        <v>21</v>
      </c>
      <c r="C23" s="18">
        <f>'P_L Workings'!C81</f>
        <v>0</v>
      </c>
      <c r="D23" s="18">
        <f>'P_L Workings'!D81</f>
        <v>0</v>
      </c>
      <c r="E23" s="18">
        <f>'P_L Workings'!E81</f>
        <v>0</v>
      </c>
      <c r="G23" s="18">
        <f>SUM(C23:E23)</f>
        <v>0</v>
      </c>
    </row>
    <row r="24" spans="1:7" hidden="1" x14ac:dyDescent="0.3">
      <c r="B24" t="s">
        <v>16</v>
      </c>
      <c r="C24" s="13"/>
      <c r="D24" s="13"/>
      <c r="E24" s="13"/>
    </row>
    <row r="25" spans="1:7" hidden="1" x14ac:dyDescent="0.3">
      <c r="B25" t="s">
        <v>22</v>
      </c>
      <c r="C25" s="13"/>
      <c r="D25" s="13"/>
      <c r="E25" s="13"/>
    </row>
    <row r="26" spans="1:7" ht="14" hidden="1" x14ac:dyDescent="0.3">
      <c r="B26" s="19" t="s">
        <v>3</v>
      </c>
      <c r="C26" s="16"/>
      <c r="D26" s="16"/>
      <c r="E26" s="16"/>
    </row>
    <row r="27" spans="1:7" ht="6" customHeight="1" x14ac:dyDescent="0.3">
      <c r="C27" s="13"/>
      <c r="D27" s="13"/>
      <c r="E27" s="13"/>
    </row>
    <row r="28" spans="1:7" ht="15.5" x14ac:dyDescent="0.35">
      <c r="A28" s="17" t="s">
        <v>23</v>
      </c>
      <c r="C28" s="13"/>
      <c r="D28" s="13"/>
      <c r="E28" s="13"/>
    </row>
    <row r="29" spans="1:7" x14ac:dyDescent="0.3">
      <c r="B29" t="s">
        <v>9</v>
      </c>
      <c r="C29" s="18">
        <f>'P_L Workings'!C90</f>
        <v>0</v>
      </c>
      <c r="D29" s="18">
        <f>'P_L Workings'!D90</f>
        <v>0</v>
      </c>
      <c r="E29" s="18">
        <f>'P_L Workings'!E90</f>
        <v>0</v>
      </c>
      <c r="G29" s="18">
        <f>SUM(C29:E29)</f>
        <v>0</v>
      </c>
    </row>
    <row r="30" spans="1:7" ht="14" hidden="1" x14ac:dyDescent="0.3">
      <c r="B30" s="19" t="s">
        <v>3</v>
      </c>
      <c r="C30" s="16"/>
      <c r="D30" s="16"/>
      <c r="E30" s="16"/>
    </row>
    <row r="31" spans="1:7" ht="6" customHeight="1" x14ac:dyDescent="0.3">
      <c r="C31" s="13"/>
      <c r="D31" s="13"/>
      <c r="E31" s="13"/>
    </row>
    <row r="32" spans="1:7" ht="15.5" x14ac:dyDescent="0.35">
      <c r="A32" s="17" t="s">
        <v>24</v>
      </c>
      <c r="C32" s="13"/>
      <c r="D32" s="13"/>
      <c r="E32" s="13"/>
    </row>
    <row r="33" spans="1:7" x14ac:dyDescent="0.3">
      <c r="B33" t="s">
        <v>25</v>
      </c>
      <c r="C33" s="13">
        <f>'P_L Workings'!C94</f>
        <v>0</v>
      </c>
      <c r="D33" s="13">
        <f>'P_L Workings'!D94</f>
        <v>0</v>
      </c>
      <c r="E33" s="13">
        <f>'P_L Workings'!E94</f>
        <v>110302.19230769231</v>
      </c>
      <c r="G33" s="2">
        <f t="shared" ref="G33:G45" si="1">SUM(C33:E33)</f>
        <v>110302.19230769231</v>
      </c>
    </row>
    <row r="34" spans="1:7" x14ac:dyDescent="0.3">
      <c r="B34" t="s">
        <v>26</v>
      </c>
      <c r="C34" s="13">
        <f>'P_L Workings'!C95</f>
        <v>0</v>
      </c>
      <c r="D34" s="13">
        <f>'P_L Workings'!D95</f>
        <v>0</v>
      </c>
      <c r="E34" s="13">
        <f>'P_L Workings'!E95</f>
        <v>4807.6923076923076</v>
      </c>
      <c r="G34" s="2">
        <f t="shared" si="1"/>
        <v>4807.6923076923076</v>
      </c>
    </row>
    <row r="35" spans="1:7" x14ac:dyDescent="0.3">
      <c r="B35" t="s">
        <v>27</v>
      </c>
      <c r="C35" s="13">
        <f>'P_L Workings'!C102</f>
        <v>0</v>
      </c>
      <c r="D35" s="13">
        <f>'P_L Workings'!D102</f>
        <v>0</v>
      </c>
      <c r="E35" s="13">
        <f>'P_L Workings'!E102</f>
        <v>61623.380000000005</v>
      </c>
      <c r="G35" s="2">
        <f t="shared" si="1"/>
        <v>61623.380000000005</v>
      </c>
    </row>
    <row r="36" spans="1:7" x14ac:dyDescent="0.3">
      <c r="B36" t="s">
        <v>28</v>
      </c>
      <c r="C36" s="13">
        <f>'P_L Workings'!C104</f>
        <v>0</v>
      </c>
      <c r="D36" s="13">
        <f>'P_L Workings'!D104</f>
        <v>0</v>
      </c>
      <c r="E36" s="13">
        <f>'P_L Workings'!E104</f>
        <v>3645.8333333333335</v>
      </c>
      <c r="G36" s="2">
        <f t="shared" si="1"/>
        <v>3645.8333333333335</v>
      </c>
    </row>
    <row r="37" spans="1:7" x14ac:dyDescent="0.3">
      <c r="B37" t="s">
        <v>29</v>
      </c>
      <c r="C37" s="13">
        <f>'P_L Workings'!C108</f>
        <v>0</v>
      </c>
      <c r="D37" s="13">
        <f>'P_L Workings'!D108</f>
        <v>0</v>
      </c>
      <c r="E37" s="13">
        <f>'P_L Workings'!E108</f>
        <v>900.00000000000011</v>
      </c>
      <c r="G37" s="2">
        <f t="shared" si="1"/>
        <v>900.00000000000011</v>
      </c>
    </row>
    <row r="38" spans="1:7" x14ac:dyDescent="0.3">
      <c r="B38" t="s">
        <v>30</v>
      </c>
      <c r="C38" s="13">
        <f>'P_L Workings'!C113</f>
        <v>0</v>
      </c>
      <c r="D38" s="13">
        <f>'P_L Workings'!D113</f>
        <v>0</v>
      </c>
      <c r="E38" s="13">
        <f>'P_L Workings'!E113</f>
        <v>7200.0000000000009</v>
      </c>
      <c r="G38" s="2">
        <f t="shared" si="1"/>
        <v>7200.0000000000009</v>
      </c>
    </row>
    <row r="39" spans="1:7" x14ac:dyDescent="0.3">
      <c r="B39" t="s">
        <v>31</v>
      </c>
      <c r="C39" s="13">
        <f>'P_L Workings'!C118</f>
        <v>0</v>
      </c>
      <c r="D39" s="13">
        <f>'P_L Workings'!D118</f>
        <v>0</v>
      </c>
      <c r="E39" s="13">
        <f>'P_L Workings'!E118</f>
        <v>27000</v>
      </c>
      <c r="G39" s="2">
        <f t="shared" si="1"/>
        <v>27000</v>
      </c>
    </row>
    <row r="40" spans="1:7" x14ac:dyDescent="0.3">
      <c r="B40" t="s">
        <v>32</v>
      </c>
      <c r="C40" s="13">
        <f>'P_L Workings'!C120</f>
        <v>0</v>
      </c>
      <c r="D40" s="13">
        <f>'P_L Workings'!D120</f>
        <v>0</v>
      </c>
      <c r="E40" s="13">
        <f>'P_L Workings'!E120</f>
        <v>2500</v>
      </c>
      <c r="G40" s="2">
        <f t="shared" si="1"/>
        <v>2500</v>
      </c>
    </row>
    <row r="41" spans="1:7" x14ac:dyDescent="0.3">
      <c r="B41" t="s">
        <v>33</v>
      </c>
      <c r="C41" s="13">
        <f>'P_L Workings'!C121</f>
        <v>0</v>
      </c>
      <c r="D41" s="13">
        <f>'P_L Workings'!D121</f>
        <v>0</v>
      </c>
      <c r="E41" s="13">
        <f>'P_L Workings'!E121</f>
        <v>4000</v>
      </c>
      <c r="G41" s="2">
        <f t="shared" si="1"/>
        <v>4000</v>
      </c>
    </row>
    <row r="42" spans="1:7" x14ac:dyDescent="0.3">
      <c r="B42" t="s">
        <v>34</v>
      </c>
      <c r="C42" s="13">
        <f>'P_L Workings'!C125</f>
        <v>0</v>
      </c>
      <c r="D42" s="13">
        <f>'P_L Workings'!D125</f>
        <v>0</v>
      </c>
      <c r="E42" s="13">
        <f>'P_L Workings'!E125</f>
        <v>13000</v>
      </c>
      <c r="G42" s="2">
        <f t="shared" si="1"/>
        <v>13000</v>
      </c>
    </row>
    <row r="43" spans="1:7" x14ac:dyDescent="0.3">
      <c r="B43" t="s">
        <v>35</v>
      </c>
      <c r="C43" s="13">
        <f>'P_L Workings'!C130</f>
        <v>0</v>
      </c>
      <c r="D43" s="13">
        <f>'P_L Workings'!D130</f>
        <v>0</v>
      </c>
      <c r="E43" s="13">
        <f>'P_L Workings'!E130</f>
        <v>48000</v>
      </c>
      <c r="G43" s="2">
        <f t="shared" si="1"/>
        <v>48000</v>
      </c>
    </row>
    <row r="44" spans="1:7" x14ac:dyDescent="0.3">
      <c r="B44" t="s">
        <v>36</v>
      </c>
      <c r="C44" s="13">
        <f>'P_L Workings'!C135</f>
        <v>0</v>
      </c>
      <c r="D44" s="13">
        <f>'P_L Workings'!D135</f>
        <v>0</v>
      </c>
      <c r="E44" s="13">
        <f>'P_L Workings'!E135</f>
        <v>7800</v>
      </c>
      <c r="G44" s="2">
        <f t="shared" si="1"/>
        <v>7800</v>
      </c>
    </row>
    <row r="45" spans="1:7" x14ac:dyDescent="0.3">
      <c r="B45" t="s">
        <v>37</v>
      </c>
      <c r="C45" s="13">
        <f>'P_L Workings'!C140</f>
        <v>0</v>
      </c>
      <c r="D45" s="13">
        <f>'P_L Workings'!D140</f>
        <v>0</v>
      </c>
      <c r="E45" s="13">
        <f>'P_L Workings'!E140</f>
        <v>6000</v>
      </c>
      <c r="G45" s="2">
        <f t="shared" si="1"/>
        <v>6000</v>
      </c>
    </row>
    <row r="46" spans="1:7" ht="14" x14ac:dyDescent="0.3">
      <c r="B46" s="19" t="s">
        <v>3</v>
      </c>
      <c r="C46" s="15">
        <f>SUM(C33:C45)</f>
        <v>0</v>
      </c>
      <c r="D46" s="15">
        <f>SUM(D33:D45)</f>
        <v>0</v>
      </c>
      <c r="E46" s="15">
        <f>SUM(E33:E45)</f>
        <v>296779.097948718</v>
      </c>
      <c r="G46" s="15">
        <f>SUM(G33:G45)</f>
        <v>296779.097948718</v>
      </c>
    </row>
    <row r="47" spans="1:7" ht="6" customHeight="1" x14ac:dyDescent="0.3">
      <c r="C47" s="13"/>
      <c r="D47" s="13"/>
      <c r="E47" s="13"/>
    </row>
    <row r="48" spans="1:7" ht="15.5" x14ac:dyDescent="0.35">
      <c r="A48" s="17" t="s">
        <v>38</v>
      </c>
      <c r="C48" s="13"/>
      <c r="D48" s="13"/>
      <c r="E48" s="13"/>
    </row>
    <row r="49" spans="1:7" x14ac:dyDescent="0.3">
      <c r="B49" t="s">
        <v>39</v>
      </c>
      <c r="C49" s="13">
        <f>'P_L Workings'!C145</f>
        <v>0</v>
      </c>
      <c r="D49" s="13">
        <f>'P_L Workings'!D145</f>
        <v>0</v>
      </c>
      <c r="E49" s="13">
        <f>'P_L Workings'!E145</f>
        <v>120000</v>
      </c>
      <c r="G49" s="2">
        <f>SUM(C49:E49)</f>
        <v>120000</v>
      </c>
    </row>
    <row r="50" spans="1:7" x14ac:dyDescent="0.3">
      <c r="B50" t="s">
        <v>40</v>
      </c>
      <c r="C50" s="13">
        <f>'P_L Workings'!C146</f>
        <v>0</v>
      </c>
      <c r="D50" s="13">
        <f>'P_L Workings'!D146</f>
        <v>0</v>
      </c>
      <c r="E50" s="13">
        <f>'P_L Workings'!E146</f>
        <v>0</v>
      </c>
      <c r="G50" s="2">
        <f>SUM(C50:E50)</f>
        <v>0</v>
      </c>
    </row>
    <row r="51" spans="1:7" x14ac:dyDescent="0.3">
      <c r="B51" t="s">
        <v>41</v>
      </c>
      <c r="C51" s="13">
        <f>'P_L Workings'!C147</f>
        <v>0</v>
      </c>
      <c r="D51" s="13">
        <f>'P_L Workings'!D147</f>
        <v>0</v>
      </c>
      <c r="E51" s="13">
        <f>'P_L Workings'!E147</f>
        <v>0</v>
      </c>
      <c r="G51" s="2">
        <f>SUM(C51:E51)</f>
        <v>0</v>
      </c>
    </row>
    <row r="52" spans="1:7" x14ac:dyDescent="0.3">
      <c r="B52" t="s">
        <v>42</v>
      </c>
      <c r="C52" s="13">
        <f>'P_L Workings'!C148</f>
        <v>0</v>
      </c>
      <c r="D52" s="13">
        <f>'P_L Workings'!D148</f>
        <v>0</v>
      </c>
      <c r="E52" s="13">
        <f>'P_L Workings'!E148</f>
        <v>480000</v>
      </c>
      <c r="G52" s="2">
        <f>SUM(C52:E52)</f>
        <v>480000</v>
      </c>
    </row>
    <row r="53" spans="1:7" ht="14" x14ac:dyDescent="0.3">
      <c r="B53" s="19" t="s">
        <v>3</v>
      </c>
      <c r="C53" s="15">
        <f>SUM(C49:C52)</f>
        <v>0</v>
      </c>
      <c r="D53" s="15">
        <f>SUM(D49:D52)</f>
        <v>0</v>
      </c>
      <c r="E53" s="15">
        <f>SUM(E49:E52)</f>
        <v>600000</v>
      </c>
      <c r="G53" s="15">
        <f>SUM(G49:G52)</f>
        <v>600000</v>
      </c>
    </row>
    <row r="54" spans="1:7" ht="6" customHeight="1" x14ac:dyDescent="0.3">
      <c r="C54" s="13"/>
      <c r="D54" s="13"/>
      <c r="E54" s="13"/>
    </row>
    <row r="55" spans="1:7" ht="15.5" x14ac:dyDescent="0.35">
      <c r="A55" s="17" t="s">
        <v>43</v>
      </c>
      <c r="C55" s="13"/>
      <c r="D55" s="13"/>
      <c r="E55" s="13"/>
    </row>
    <row r="56" spans="1:7" x14ac:dyDescent="0.3">
      <c r="B56" t="s">
        <v>44</v>
      </c>
      <c r="C56" s="13">
        <f>'P_L Workings'!C152</f>
        <v>0</v>
      </c>
      <c r="D56" s="13">
        <f>'P_L Workings'!D152</f>
        <v>0</v>
      </c>
      <c r="E56" s="13">
        <f>'P_L Workings'!E152</f>
        <v>23750</v>
      </c>
      <c r="G56" s="2">
        <f>SUM(C56:E56)</f>
        <v>23750</v>
      </c>
    </row>
    <row r="57" spans="1:7" x14ac:dyDescent="0.3">
      <c r="B57" t="s">
        <v>45</v>
      </c>
      <c r="C57" s="13">
        <f>'P_L Workings'!C153</f>
        <v>0</v>
      </c>
      <c r="D57" s="13">
        <f>'P_L Workings'!D153</f>
        <v>0</v>
      </c>
      <c r="E57" s="13">
        <f>'P_L Workings'!E153</f>
        <v>0</v>
      </c>
      <c r="G57" s="2">
        <f>SUM(C57:E57)</f>
        <v>0</v>
      </c>
    </row>
    <row r="58" spans="1:7" x14ac:dyDescent="0.3">
      <c r="B58" t="s">
        <v>46</v>
      </c>
      <c r="C58" s="13">
        <f>'P_L Workings'!C154</f>
        <v>0</v>
      </c>
      <c r="D58" s="13">
        <f>'P_L Workings'!D154</f>
        <v>0</v>
      </c>
      <c r="E58" s="13">
        <f>'P_L Workings'!E154</f>
        <v>0</v>
      </c>
      <c r="G58" s="2">
        <f>SUM(C58:E58)</f>
        <v>0</v>
      </c>
    </row>
    <row r="59" spans="1:7" x14ac:dyDescent="0.3">
      <c r="B59" t="s">
        <v>47</v>
      </c>
      <c r="C59" s="13">
        <f>'P_L Workings'!C155</f>
        <v>0</v>
      </c>
      <c r="D59" s="13">
        <f>'P_L Workings'!D155</f>
        <v>0</v>
      </c>
      <c r="E59" s="13">
        <f>'P_L Workings'!E155</f>
        <v>2500</v>
      </c>
      <c r="G59" s="2">
        <f>SUM(C59:E59)</f>
        <v>2500</v>
      </c>
    </row>
    <row r="60" spans="1:7" x14ac:dyDescent="0.3">
      <c r="B60" t="s">
        <v>48</v>
      </c>
      <c r="C60" s="13">
        <f>'P_L Workings'!C156</f>
        <v>0</v>
      </c>
      <c r="D60" s="13">
        <f>'P_L Workings'!D156</f>
        <v>0</v>
      </c>
      <c r="E60" s="13">
        <f>'P_L Workings'!E156</f>
        <v>1000</v>
      </c>
      <c r="G60" s="2">
        <f>SUM(C60:E60)</f>
        <v>1000</v>
      </c>
    </row>
    <row r="61" spans="1:7" ht="14" x14ac:dyDescent="0.3">
      <c r="B61" s="19" t="s">
        <v>3</v>
      </c>
      <c r="C61" s="15">
        <f>SUM(C56:C60)</f>
        <v>0</v>
      </c>
      <c r="D61" s="15">
        <f>SUM(D56:D60)</f>
        <v>0</v>
      </c>
      <c r="E61" s="15">
        <f>SUM(E56:E60)</f>
        <v>27250</v>
      </c>
      <c r="G61" s="15">
        <f>SUM(G56:G60)</f>
        <v>27250</v>
      </c>
    </row>
    <row r="62" spans="1:7" ht="6" customHeight="1" x14ac:dyDescent="0.3">
      <c r="C62" s="13"/>
      <c r="D62" s="13"/>
      <c r="E62" s="13"/>
    </row>
    <row r="63" spans="1:7" ht="15.5" x14ac:dyDescent="0.35">
      <c r="A63" s="17" t="s">
        <v>49</v>
      </c>
      <c r="C63" s="13"/>
      <c r="D63" s="13"/>
      <c r="E63" s="13"/>
    </row>
    <row r="64" spans="1:7" x14ac:dyDescent="0.3">
      <c r="B64" t="s">
        <v>49</v>
      </c>
      <c r="C64" s="18">
        <f>'P_L Workings'!C163</f>
        <v>0</v>
      </c>
      <c r="D64" s="18">
        <f>'P_L Workings'!D163</f>
        <v>0</v>
      </c>
      <c r="E64" s="18">
        <f>'P_L Workings'!E163</f>
        <v>16000</v>
      </c>
      <c r="G64" s="18">
        <f>SUM(C64:E64)</f>
        <v>16000</v>
      </c>
    </row>
    <row r="65" spans="1:7" ht="14" hidden="1" x14ac:dyDescent="0.3">
      <c r="B65" s="19" t="s">
        <v>3</v>
      </c>
      <c r="C65" s="16"/>
      <c r="D65" s="16"/>
      <c r="E65" s="16"/>
    </row>
    <row r="66" spans="1:7" ht="6" customHeight="1" x14ac:dyDescent="0.3">
      <c r="C66" s="13"/>
      <c r="D66" s="13"/>
      <c r="E66" s="13"/>
    </row>
    <row r="67" spans="1:7" ht="15.5" x14ac:dyDescent="0.35">
      <c r="A67" s="17" t="s">
        <v>50</v>
      </c>
      <c r="C67" s="13"/>
      <c r="D67" s="13"/>
      <c r="E67" s="13"/>
    </row>
    <row r="68" spans="1:7" ht="14.25" customHeight="1" x14ac:dyDescent="0.35">
      <c r="A68" s="17"/>
      <c r="B68" t="s">
        <v>51</v>
      </c>
      <c r="C68" s="13">
        <f>'P_L Workings'!C166</f>
        <v>0</v>
      </c>
      <c r="D68" s="13">
        <f>'P_L Workings'!D166</f>
        <v>0</v>
      </c>
      <c r="E68" s="13">
        <f>'P_L Workings'!E166</f>
        <v>0</v>
      </c>
      <c r="G68" s="2">
        <f>SUM(C68:E68)</f>
        <v>0</v>
      </c>
    </row>
    <row r="69" spans="1:7" ht="14.25" customHeight="1" x14ac:dyDescent="0.35">
      <c r="A69" s="17"/>
      <c r="B69" t="s">
        <v>52</v>
      </c>
      <c r="C69" s="13">
        <f>P_L!C69</f>
        <v>0</v>
      </c>
      <c r="D69" s="13">
        <f>P_L!D69</f>
        <v>0</v>
      </c>
      <c r="E69" s="13">
        <f>P_L!E69</f>
        <v>0</v>
      </c>
      <c r="F69" s="13"/>
      <c r="G69" s="2">
        <f>SUM(C69:E69)</f>
        <v>0</v>
      </c>
    </row>
    <row r="70" spans="1:7" x14ac:dyDescent="0.3">
      <c r="B70" t="s">
        <v>53</v>
      </c>
      <c r="C70" s="13">
        <f>'P_L Workings'!C168</f>
        <v>0</v>
      </c>
      <c r="D70" s="13">
        <f>'P_L Workings'!D168</f>
        <v>0</v>
      </c>
      <c r="E70" s="13">
        <f>'P_L Workings'!E168</f>
        <v>0</v>
      </c>
      <c r="G70" s="2">
        <f>SUM(C70:E70)</f>
        <v>0</v>
      </c>
    </row>
    <row r="71" spans="1:7" x14ac:dyDescent="0.3">
      <c r="B71" t="s">
        <v>54</v>
      </c>
      <c r="C71" s="13">
        <f>'P_L Workings'!C169</f>
        <v>0</v>
      </c>
      <c r="D71" s="13">
        <f>'P_L Workings'!D169</f>
        <v>0</v>
      </c>
      <c r="E71" s="13">
        <f>'P_L Workings'!E169</f>
        <v>0</v>
      </c>
      <c r="G71" s="2">
        <f>SUM(C71:E71)</f>
        <v>0</v>
      </c>
    </row>
    <row r="72" spans="1:7" ht="14" x14ac:dyDescent="0.3">
      <c r="B72" s="19" t="s">
        <v>3</v>
      </c>
      <c r="C72" s="15">
        <f>SUM(C68:C71)</f>
        <v>0</v>
      </c>
      <c r="D72" s="15">
        <f>SUM(D68:D71)</f>
        <v>0</v>
      </c>
      <c r="E72" s="15">
        <f>SUM(E68:E71)</f>
        <v>0</v>
      </c>
      <c r="G72" s="15">
        <f>SUM(G68:G71)</f>
        <v>0</v>
      </c>
    </row>
    <row r="73" spans="1:7" ht="11.25" customHeight="1" x14ac:dyDescent="0.3">
      <c r="C73" s="13"/>
      <c r="D73" s="13"/>
      <c r="E73" s="13"/>
    </row>
    <row r="74" spans="1:7" ht="15.5" x14ac:dyDescent="0.35">
      <c r="A74" s="4" t="s">
        <v>55</v>
      </c>
      <c r="C74" s="15">
        <f>C72+C64+C61+C53+C46+C29+C23</f>
        <v>0</v>
      </c>
      <c r="D74" s="15">
        <f>D72+D64+D61+D53+D46+D29+D23</f>
        <v>0</v>
      </c>
      <c r="E74" s="15">
        <f>E72+E64+E61+E53+E46+E29+E23</f>
        <v>940029.097948718</v>
      </c>
      <c r="G74" s="15">
        <f>G72+G64+G61+G53+G46+G29+G23</f>
        <v>940029.097948718</v>
      </c>
    </row>
    <row r="75" spans="1:7" x14ac:dyDescent="0.3">
      <c r="C75" s="13"/>
      <c r="D75" s="13"/>
      <c r="E75" s="13"/>
      <c r="G75" s="16"/>
    </row>
    <row r="76" spans="1:7" ht="15.5" x14ac:dyDescent="0.35">
      <c r="A76" s="4" t="s">
        <v>56</v>
      </c>
      <c r="C76" s="22">
        <f>C18-C74</f>
        <v>0</v>
      </c>
      <c r="D76" s="22">
        <f>D18-D74</f>
        <v>0</v>
      </c>
      <c r="E76" s="22">
        <f>E18-E74</f>
        <v>-608719.097948718</v>
      </c>
      <c r="G76" s="22">
        <f>G18-G74</f>
        <v>-608719.097948718</v>
      </c>
    </row>
    <row r="77" spans="1:7" x14ac:dyDescent="0.3">
      <c r="C77" s="13"/>
      <c r="D77" s="13"/>
      <c r="E77" s="16"/>
    </row>
    <row r="78" spans="1:7" x14ac:dyDescent="0.3">
      <c r="C78" s="13"/>
      <c r="D78" s="13"/>
      <c r="E78" s="16"/>
    </row>
    <row r="79" spans="1:7" x14ac:dyDescent="0.3">
      <c r="C79" s="13"/>
      <c r="D79" s="13"/>
      <c r="E79" s="16"/>
    </row>
    <row r="80" spans="1:7" x14ac:dyDescent="0.3">
      <c r="C80" s="13"/>
      <c r="D80" s="13"/>
      <c r="E80" s="16"/>
    </row>
    <row r="81" spans="3:5" x14ac:dyDescent="0.3">
      <c r="C81" s="13"/>
      <c r="D81" s="13"/>
      <c r="E81" s="16"/>
    </row>
    <row r="82" spans="3:5" x14ac:dyDescent="0.3">
      <c r="C82" s="13"/>
      <c r="D82" s="13"/>
      <c r="E82" s="16"/>
    </row>
    <row r="83" spans="3:5" x14ac:dyDescent="0.3">
      <c r="C83" s="13"/>
      <c r="D83" s="13"/>
      <c r="E83" s="16"/>
    </row>
    <row r="84" spans="3:5" x14ac:dyDescent="0.3">
      <c r="C84" s="13"/>
      <c r="D84" s="13"/>
      <c r="E84" s="16"/>
    </row>
    <row r="85" spans="3:5" x14ac:dyDescent="0.3">
      <c r="C85" s="13"/>
      <c r="D85" s="13"/>
      <c r="E85" s="16"/>
    </row>
    <row r="86" spans="3:5" x14ac:dyDescent="0.3">
      <c r="C86" s="13"/>
      <c r="D86" s="13"/>
      <c r="E86" s="16"/>
    </row>
    <row r="87" spans="3:5" x14ac:dyDescent="0.3">
      <c r="C87" s="13"/>
      <c r="D87" s="13"/>
      <c r="E87" s="16"/>
    </row>
    <row r="88" spans="3:5" x14ac:dyDescent="0.3">
      <c r="C88" s="13"/>
      <c r="D88" s="13"/>
      <c r="E88" s="16"/>
    </row>
    <row r="89" spans="3:5" x14ac:dyDescent="0.3">
      <c r="C89" s="13"/>
      <c r="D89" s="13"/>
      <c r="E89" s="16"/>
    </row>
    <row r="90" spans="3:5" x14ac:dyDescent="0.3">
      <c r="C90" s="13"/>
      <c r="D90" s="13"/>
      <c r="E90" s="16"/>
    </row>
    <row r="91" spans="3:5" x14ac:dyDescent="0.3">
      <c r="C91" s="13"/>
      <c r="D91" s="13"/>
      <c r="E91" s="16"/>
    </row>
    <row r="92" spans="3:5" x14ac:dyDescent="0.3">
      <c r="C92" s="13"/>
      <c r="D92" s="13"/>
      <c r="E92" s="16"/>
    </row>
    <row r="93" spans="3:5" x14ac:dyDescent="0.3">
      <c r="C93" s="13"/>
      <c r="D93" s="13"/>
      <c r="E93" s="16"/>
    </row>
    <row r="94" spans="3:5" x14ac:dyDescent="0.3">
      <c r="C94" s="13"/>
      <c r="D94" s="13"/>
      <c r="E94" s="16"/>
    </row>
    <row r="95" spans="3:5" x14ac:dyDescent="0.3">
      <c r="C95" s="13"/>
      <c r="D95" s="13"/>
      <c r="E95" s="16"/>
    </row>
    <row r="96" spans="3:5" x14ac:dyDescent="0.3">
      <c r="C96" s="13"/>
      <c r="D96" s="13"/>
      <c r="E96" s="16"/>
    </row>
    <row r="97" spans="3:5" x14ac:dyDescent="0.3">
      <c r="C97" s="13"/>
      <c r="D97" s="13"/>
      <c r="E97" s="16"/>
    </row>
    <row r="98" spans="3:5" x14ac:dyDescent="0.3">
      <c r="C98" s="13"/>
      <c r="D98" s="13"/>
      <c r="E98" s="16"/>
    </row>
    <row r="99" spans="3:5" x14ac:dyDescent="0.3">
      <c r="C99" s="13"/>
      <c r="D99" s="13"/>
      <c r="E99" s="16"/>
    </row>
    <row r="100" spans="3:5" x14ac:dyDescent="0.3">
      <c r="C100" s="13"/>
      <c r="D100" s="13"/>
      <c r="E100" s="16"/>
    </row>
    <row r="101" spans="3:5" x14ac:dyDescent="0.3">
      <c r="C101" s="13"/>
      <c r="D101" s="13"/>
      <c r="E101" s="16"/>
    </row>
    <row r="102" spans="3:5" x14ac:dyDescent="0.3">
      <c r="C102" s="13"/>
      <c r="D102" s="13"/>
      <c r="E102" s="16"/>
    </row>
    <row r="103" spans="3:5" x14ac:dyDescent="0.3">
      <c r="C103" s="13"/>
      <c r="D103" s="13"/>
      <c r="E103" s="16"/>
    </row>
    <row r="104" spans="3:5" x14ac:dyDescent="0.3">
      <c r="C104" s="13"/>
      <c r="D104" s="13"/>
      <c r="E104" s="16"/>
    </row>
    <row r="105" spans="3:5" x14ac:dyDescent="0.3">
      <c r="C105" s="13"/>
      <c r="D105" s="13"/>
      <c r="E105" s="16"/>
    </row>
    <row r="106" spans="3:5" x14ac:dyDescent="0.3">
      <c r="C106" s="13"/>
      <c r="D106" s="13"/>
      <c r="E106" s="16"/>
    </row>
    <row r="107" spans="3:5" x14ac:dyDescent="0.3">
      <c r="C107" s="13"/>
      <c r="D107" s="13"/>
      <c r="E107" s="16"/>
    </row>
    <row r="108" spans="3:5" x14ac:dyDescent="0.3">
      <c r="C108" s="13"/>
      <c r="D108" s="13"/>
      <c r="E108" s="16"/>
    </row>
    <row r="109" spans="3:5" x14ac:dyDescent="0.3">
      <c r="C109" s="13"/>
      <c r="D109" s="13"/>
      <c r="E109" s="16"/>
    </row>
    <row r="110" spans="3:5" x14ac:dyDescent="0.3">
      <c r="C110" s="13"/>
      <c r="D110" s="13"/>
      <c r="E110" s="16"/>
    </row>
    <row r="111" spans="3:5" x14ac:dyDescent="0.3">
      <c r="C111" s="13"/>
      <c r="D111" s="13"/>
      <c r="E111" s="16"/>
    </row>
    <row r="112" spans="3:5" x14ac:dyDescent="0.3">
      <c r="C112" s="13"/>
      <c r="D112" s="13"/>
      <c r="E112" s="16"/>
    </row>
    <row r="113" spans="3:5" x14ac:dyDescent="0.3">
      <c r="C113" s="13"/>
      <c r="D113" s="13"/>
      <c r="E113" s="16"/>
    </row>
    <row r="114" spans="3:5" x14ac:dyDescent="0.3">
      <c r="C114" s="13"/>
      <c r="D114" s="13"/>
      <c r="E114" s="16"/>
    </row>
    <row r="115" spans="3:5" x14ac:dyDescent="0.3">
      <c r="C115" s="13"/>
      <c r="D115" s="13"/>
      <c r="E115" s="16"/>
    </row>
    <row r="116" spans="3:5" x14ac:dyDescent="0.3">
      <c r="C116" s="13"/>
      <c r="D116" s="13"/>
      <c r="E116" s="16"/>
    </row>
    <row r="117" spans="3:5" x14ac:dyDescent="0.3">
      <c r="C117" s="13"/>
      <c r="D117" s="13"/>
      <c r="E117" s="16"/>
    </row>
    <row r="118" spans="3:5" x14ac:dyDescent="0.3">
      <c r="C118" s="13"/>
      <c r="D118" s="13"/>
      <c r="E118" s="16"/>
    </row>
    <row r="119" spans="3:5" x14ac:dyDescent="0.3">
      <c r="C119" s="13"/>
      <c r="D119" s="13"/>
      <c r="E119" s="16"/>
    </row>
    <row r="120" spans="3:5" x14ac:dyDescent="0.3">
      <c r="C120" s="13"/>
      <c r="D120" s="13"/>
      <c r="E120" s="16"/>
    </row>
    <row r="121" spans="3:5" x14ac:dyDescent="0.3">
      <c r="C121" s="13"/>
      <c r="D121" s="13"/>
      <c r="E121" s="16"/>
    </row>
    <row r="122" spans="3:5" x14ac:dyDescent="0.3">
      <c r="C122" s="13"/>
      <c r="D122" s="13"/>
      <c r="E122" s="16"/>
    </row>
    <row r="123" spans="3:5" x14ac:dyDescent="0.3">
      <c r="C123" s="13"/>
      <c r="D123" s="13"/>
      <c r="E123" s="16"/>
    </row>
    <row r="124" spans="3:5" x14ac:dyDescent="0.3">
      <c r="C124" s="13"/>
      <c r="D124" s="13"/>
      <c r="E124" s="16"/>
    </row>
    <row r="125" spans="3:5" x14ac:dyDescent="0.3">
      <c r="C125" s="13"/>
      <c r="D125" s="13"/>
      <c r="E125" s="16"/>
    </row>
    <row r="126" spans="3:5" x14ac:dyDescent="0.3">
      <c r="C126" s="13"/>
      <c r="D126" s="13"/>
      <c r="E126" s="16"/>
    </row>
    <row r="127" spans="3:5" x14ac:dyDescent="0.3">
      <c r="C127" s="13"/>
      <c r="D127" s="13"/>
      <c r="E127" s="16"/>
    </row>
    <row r="128" spans="3:5" x14ac:dyDescent="0.3">
      <c r="C128" s="13"/>
      <c r="D128" s="13"/>
      <c r="E128" s="16"/>
    </row>
    <row r="129" spans="3:5" x14ac:dyDescent="0.3">
      <c r="C129" s="13"/>
      <c r="D129" s="13"/>
      <c r="E129" s="16"/>
    </row>
    <row r="130" spans="3:5" x14ac:dyDescent="0.3">
      <c r="C130" s="13"/>
      <c r="D130" s="13"/>
      <c r="E130" s="16"/>
    </row>
    <row r="131" spans="3:5" x14ac:dyDescent="0.3">
      <c r="C131" s="13"/>
      <c r="D131" s="13"/>
      <c r="E131" s="16"/>
    </row>
    <row r="132" spans="3:5" x14ac:dyDescent="0.3">
      <c r="C132" s="13"/>
      <c r="D132" s="13"/>
      <c r="E132" s="16"/>
    </row>
    <row r="133" spans="3:5" x14ac:dyDescent="0.3">
      <c r="C133" s="13"/>
      <c r="D133" s="13"/>
      <c r="E133" s="16"/>
    </row>
    <row r="134" spans="3:5" x14ac:dyDescent="0.3">
      <c r="C134" s="13"/>
      <c r="D134" s="13"/>
      <c r="E134" s="16"/>
    </row>
    <row r="135" spans="3:5" x14ac:dyDescent="0.3">
      <c r="C135" s="13"/>
      <c r="D135" s="13"/>
      <c r="E135" s="16"/>
    </row>
    <row r="136" spans="3:5" x14ac:dyDescent="0.3">
      <c r="C136" s="13"/>
      <c r="D136" s="13"/>
      <c r="E136" s="16"/>
    </row>
    <row r="137" spans="3:5" x14ac:dyDescent="0.3">
      <c r="C137" s="13"/>
      <c r="D137" s="13"/>
      <c r="E137" s="16"/>
    </row>
    <row r="138" spans="3:5" x14ac:dyDescent="0.3">
      <c r="C138" s="13"/>
      <c r="D138" s="13"/>
      <c r="E138" s="16"/>
    </row>
    <row r="139" spans="3:5" x14ac:dyDescent="0.3">
      <c r="C139" s="13"/>
      <c r="D139" s="13"/>
      <c r="E139" s="16"/>
    </row>
    <row r="140" spans="3:5" x14ac:dyDescent="0.3">
      <c r="C140" s="13"/>
      <c r="D140" s="13"/>
      <c r="E140" s="16"/>
    </row>
    <row r="141" spans="3:5" x14ac:dyDescent="0.3">
      <c r="C141" s="13"/>
      <c r="D141" s="13"/>
      <c r="E141" s="16"/>
    </row>
    <row r="142" spans="3:5" x14ac:dyDescent="0.3">
      <c r="C142" s="13"/>
      <c r="D142" s="13"/>
      <c r="E142" s="16"/>
    </row>
    <row r="143" spans="3:5" x14ac:dyDescent="0.3">
      <c r="C143" s="13"/>
      <c r="D143" s="13"/>
      <c r="E143" s="16"/>
    </row>
    <row r="144" spans="3:5" x14ac:dyDescent="0.3">
      <c r="C144" s="13"/>
      <c r="D144" s="13"/>
      <c r="E144" s="16"/>
    </row>
    <row r="145" spans="3:5" x14ac:dyDescent="0.3">
      <c r="C145" s="13"/>
      <c r="D145" s="13"/>
      <c r="E145" s="16"/>
    </row>
    <row r="146" spans="3:5" x14ac:dyDescent="0.3">
      <c r="C146" s="13"/>
      <c r="D146" s="13"/>
      <c r="E146" s="16"/>
    </row>
    <row r="147" spans="3:5" x14ac:dyDescent="0.3">
      <c r="C147" s="13"/>
      <c r="D147" s="13"/>
      <c r="E147" s="16"/>
    </row>
    <row r="148" spans="3:5" x14ac:dyDescent="0.3">
      <c r="C148" s="13"/>
      <c r="D148" s="13"/>
      <c r="E148" s="16"/>
    </row>
    <row r="149" spans="3:5" x14ac:dyDescent="0.3">
      <c r="C149" s="13"/>
      <c r="D149" s="13"/>
      <c r="E149" s="16"/>
    </row>
    <row r="150" spans="3:5" x14ac:dyDescent="0.3">
      <c r="C150" s="13"/>
      <c r="D150" s="13"/>
      <c r="E150" s="16"/>
    </row>
    <row r="151" spans="3:5" x14ac:dyDescent="0.3">
      <c r="C151" s="13"/>
      <c r="D151" s="13"/>
      <c r="E151" s="16"/>
    </row>
    <row r="152" spans="3:5" x14ac:dyDescent="0.3">
      <c r="C152" s="13"/>
      <c r="D152" s="13"/>
      <c r="E152" s="16"/>
    </row>
    <row r="153" spans="3:5" x14ac:dyDescent="0.3">
      <c r="C153" s="13"/>
      <c r="D153" s="13"/>
      <c r="E153" s="16"/>
    </row>
    <row r="154" spans="3:5" x14ac:dyDescent="0.3">
      <c r="C154" s="13"/>
      <c r="D154" s="13"/>
      <c r="E154" s="16"/>
    </row>
    <row r="155" spans="3:5" x14ac:dyDescent="0.3">
      <c r="C155" s="13"/>
      <c r="D155" s="13"/>
      <c r="E155" s="16"/>
    </row>
    <row r="156" spans="3:5" x14ac:dyDescent="0.3">
      <c r="C156" s="13"/>
      <c r="D156" s="13"/>
      <c r="E156" s="16"/>
    </row>
    <row r="157" spans="3:5" x14ac:dyDescent="0.3">
      <c r="C157" s="13"/>
      <c r="D157" s="13"/>
      <c r="E157" s="16"/>
    </row>
    <row r="158" spans="3:5" x14ac:dyDescent="0.3">
      <c r="C158" s="13"/>
      <c r="D158" s="13"/>
      <c r="E158" s="16"/>
    </row>
    <row r="159" spans="3:5" x14ac:dyDescent="0.3">
      <c r="C159" s="13"/>
      <c r="D159" s="13"/>
      <c r="E159" s="16"/>
    </row>
    <row r="160" spans="3:5" x14ac:dyDescent="0.3">
      <c r="C160" s="13"/>
      <c r="D160" s="13"/>
      <c r="E160" s="16"/>
    </row>
    <row r="161" spans="3:5" x14ac:dyDescent="0.3">
      <c r="C161" s="13"/>
      <c r="D161" s="13"/>
      <c r="E161" s="16"/>
    </row>
    <row r="162" spans="3:5" x14ac:dyDescent="0.3">
      <c r="C162" s="13"/>
      <c r="D162" s="13"/>
      <c r="E162" s="16"/>
    </row>
    <row r="163" spans="3:5" x14ac:dyDescent="0.3">
      <c r="C163" s="13"/>
      <c r="D163" s="13"/>
      <c r="E163" s="16"/>
    </row>
    <row r="164" spans="3:5" x14ac:dyDescent="0.3">
      <c r="C164" s="13"/>
      <c r="D164" s="13"/>
      <c r="E164" s="16"/>
    </row>
    <row r="165" spans="3:5" x14ac:dyDescent="0.3">
      <c r="C165" s="13"/>
      <c r="D165" s="13"/>
      <c r="E165" s="16"/>
    </row>
    <row r="166" spans="3:5" x14ac:dyDescent="0.3">
      <c r="C166" s="13"/>
      <c r="D166" s="13"/>
      <c r="E166" s="16"/>
    </row>
    <row r="167" spans="3:5" x14ac:dyDescent="0.3">
      <c r="C167" s="13"/>
      <c r="D167" s="13"/>
      <c r="E167" s="16"/>
    </row>
    <row r="168" spans="3:5" x14ac:dyDescent="0.3">
      <c r="C168" s="13"/>
      <c r="D168" s="13"/>
      <c r="E168" s="16"/>
    </row>
    <row r="169" spans="3:5" x14ac:dyDescent="0.3">
      <c r="C169" s="13"/>
      <c r="D169" s="13"/>
      <c r="E169" s="16"/>
    </row>
    <row r="170" spans="3:5" x14ac:dyDescent="0.3">
      <c r="C170" s="13"/>
      <c r="D170" s="13"/>
      <c r="E170" s="16"/>
    </row>
    <row r="171" spans="3:5" x14ac:dyDescent="0.3">
      <c r="C171" s="13"/>
      <c r="D171" s="13"/>
      <c r="E171" s="16"/>
    </row>
    <row r="172" spans="3:5" x14ac:dyDescent="0.3">
      <c r="C172" s="13"/>
      <c r="D172" s="13"/>
      <c r="E172" s="16"/>
    </row>
    <row r="173" spans="3:5" x14ac:dyDescent="0.3">
      <c r="C173" s="13"/>
      <c r="D173" s="13"/>
      <c r="E173" s="16"/>
    </row>
    <row r="174" spans="3:5" x14ac:dyDescent="0.3">
      <c r="C174" s="13"/>
      <c r="D174" s="13"/>
      <c r="E174" s="16"/>
    </row>
    <row r="175" spans="3:5" x14ac:dyDescent="0.3">
      <c r="C175" s="13"/>
      <c r="D175" s="13"/>
      <c r="E175" s="16"/>
    </row>
    <row r="176" spans="3:5" x14ac:dyDescent="0.3">
      <c r="C176" s="13"/>
      <c r="D176" s="13"/>
      <c r="E176" s="16"/>
    </row>
    <row r="177" spans="3:5" x14ac:dyDescent="0.3">
      <c r="C177" s="13"/>
      <c r="D177" s="13"/>
      <c r="E177" s="16"/>
    </row>
    <row r="178" spans="3:5" x14ac:dyDescent="0.3">
      <c r="C178" s="13"/>
      <c r="D178" s="13"/>
      <c r="E178" s="16"/>
    </row>
    <row r="179" spans="3:5" x14ac:dyDescent="0.3">
      <c r="C179" s="13"/>
      <c r="D179" s="13"/>
      <c r="E179" s="16"/>
    </row>
    <row r="180" spans="3:5" x14ac:dyDescent="0.3">
      <c r="C180" s="13"/>
      <c r="D180" s="13"/>
      <c r="E180" s="16"/>
    </row>
    <row r="181" spans="3:5" x14ac:dyDescent="0.3">
      <c r="C181" s="13"/>
      <c r="D181" s="13"/>
      <c r="E181" s="16"/>
    </row>
    <row r="182" spans="3:5" x14ac:dyDescent="0.3">
      <c r="C182" s="13"/>
      <c r="D182" s="13"/>
      <c r="E182" s="16"/>
    </row>
    <row r="183" spans="3:5" x14ac:dyDescent="0.3">
      <c r="C183" s="13"/>
      <c r="D183" s="13"/>
      <c r="E183" s="16"/>
    </row>
    <row r="184" spans="3:5" x14ac:dyDescent="0.3">
      <c r="C184" s="13"/>
      <c r="D184" s="13"/>
      <c r="E184" s="16"/>
    </row>
    <row r="185" spans="3:5" x14ac:dyDescent="0.3">
      <c r="C185" s="13"/>
      <c r="D185" s="13"/>
      <c r="E185" s="16"/>
    </row>
    <row r="186" spans="3:5" x14ac:dyDescent="0.3">
      <c r="C186" s="13"/>
      <c r="D186" s="13"/>
      <c r="E186" s="16"/>
    </row>
    <row r="187" spans="3:5" x14ac:dyDescent="0.3">
      <c r="C187" s="13"/>
      <c r="D187" s="13"/>
      <c r="E187" s="16"/>
    </row>
    <row r="188" spans="3:5" x14ac:dyDescent="0.3">
      <c r="C188" s="13"/>
      <c r="D188" s="13"/>
      <c r="E188" s="16"/>
    </row>
    <row r="189" spans="3:5" x14ac:dyDescent="0.3">
      <c r="C189" s="13"/>
      <c r="D189" s="13"/>
      <c r="E189" s="16"/>
    </row>
    <row r="190" spans="3:5" x14ac:dyDescent="0.3">
      <c r="C190" s="13"/>
      <c r="D190" s="13"/>
      <c r="E190" s="16"/>
    </row>
    <row r="191" spans="3:5" x14ac:dyDescent="0.3">
      <c r="C191" s="13"/>
      <c r="D191" s="13"/>
      <c r="E191" s="16"/>
    </row>
    <row r="192" spans="3:5" x14ac:dyDescent="0.3">
      <c r="C192" s="13"/>
      <c r="D192" s="13"/>
      <c r="E192" s="16"/>
    </row>
    <row r="193" spans="3:5" x14ac:dyDescent="0.3">
      <c r="C193" s="13"/>
      <c r="D193" s="13"/>
      <c r="E193" s="16"/>
    </row>
    <row r="194" spans="3:5" x14ac:dyDescent="0.3">
      <c r="C194" s="13"/>
      <c r="D194" s="13"/>
      <c r="E194" s="16"/>
    </row>
    <row r="195" spans="3:5" x14ac:dyDescent="0.3">
      <c r="C195" s="13"/>
      <c r="D195" s="13"/>
      <c r="E195" s="16"/>
    </row>
    <row r="196" spans="3:5" x14ac:dyDescent="0.3">
      <c r="C196" s="13"/>
      <c r="D196" s="13"/>
      <c r="E196" s="16"/>
    </row>
    <row r="197" spans="3:5" x14ac:dyDescent="0.3">
      <c r="C197" s="13"/>
      <c r="D197" s="13"/>
      <c r="E197" s="16"/>
    </row>
    <row r="198" spans="3:5" x14ac:dyDescent="0.3">
      <c r="C198" s="13"/>
      <c r="D198" s="13"/>
      <c r="E198" s="16"/>
    </row>
    <row r="199" spans="3:5" x14ac:dyDescent="0.3">
      <c r="C199" s="13"/>
      <c r="D199" s="13"/>
      <c r="E199" s="16"/>
    </row>
    <row r="200" spans="3:5" x14ac:dyDescent="0.3">
      <c r="C200" s="13"/>
      <c r="D200" s="13"/>
      <c r="E200" s="16"/>
    </row>
    <row r="201" spans="3:5" x14ac:dyDescent="0.3">
      <c r="C201" s="13"/>
      <c r="D201" s="13"/>
      <c r="E201" s="16"/>
    </row>
    <row r="202" spans="3:5" x14ac:dyDescent="0.3">
      <c r="C202" s="13"/>
      <c r="D202" s="13"/>
      <c r="E202" s="16"/>
    </row>
    <row r="203" spans="3:5" x14ac:dyDescent="0.3">
      <c r="C203" s="13"/>
      <c r="D203" s="13"/>
      <c r="E203" s="16"/>
    </row>
    <row r="204" spans="3:5" x14ac:dyDescent="0.3">
      <c r="C204" s="13"/>
      <c r="D204" s="13"/>
      <c r="E204" s="16"/>
    </row>
  </sheetData>
  <pageMargins left="0.90555555555555556" right="0.15763888888888888" top="0.98402777777777783" bottom="0.39374999999999999" header="0.51180555555555562" footer="0.51180555555555562"/>
  <pageSetup paperSize="9" scale="90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zoomScaleSheetLayoutView="75" workbookViewId="0">
      <pane xSplit="2" ySplit="7" topLeftCell="K8" activePane="bottomRight" state="frozen"/>
      <selection pane="topRight" activeCell="K1" sqref="K1"/>
      <selection pane="bottomLeft" activeCell="A66" sqref="A66"/>
      <selection pane="bottomRight"/>
    </sheetView>
  </sheetViews>
  <sheetFormatPr defaultRowHeight="12.5" x14ac:dyDescent="0.25"/>
  <cols>
    <col min="1" max="1" width="2.453125" customWidth="1"/>
    <col min="2" max="2" width="35.7265625" customWidth="1"/>
    <col min="3" max="3" width="13.81640625" customWidth="1"/>
    <col min="4" max="4" width="12.81640625" customWidth="1"/>
    <col min="5" max="5" width="13.54296875" customWidth="1"/>
    <col min="6" max="6" width="14.08984375" customWidth="1"/>
    <col min="7" max="7" width="13.81640625" customWidth="1"/>
    <col min="8" max="8" width="13.08984375" customWidth="1"/>
    <col min="9" max="9" width="13.453125" customWidth="1"/>
    <col min="10" max="10" width="14.26953125" customWidth="1"/>
    <col min="11" max="11" width="12.81640625" customWidth="1"/>
    <col min="12" max="12" width="13.453125" customWidth="1"/>
    <col min="13" max="13" width="13.08984375" customWidth="1"/>
    <col min="14" max="14" width="12.81640625" customWidth="1"/>
    <col min="15" max="15" width="3.7265625" customWidth="1"/>
    <col min="16" max="16" width="14.54296875" customWidth="1"/>
  </cols>
  <sheetData>
    <row r="1" spans="1:16" ht="15.5" x14ac:dyDescent="0.35">
      <c r="A1" s="4" t="s">
        <v>240</v>
      </c>
      <c r="B1" s="5"/>
    </row>
    <row r="2" spans="1:16" ht="15.5" x14ac:dyDescent="0.35">
      <c r="A2" s="4" t="s">
        <v>1</v>
      </c>
      <c r="B2" s="5"/>
    </row>
    <row r="3" spans="1:16" ht="15.5" x14ac:dyDescent="0.35">
      <c r="A3" s="4" t="s">
        <v>63</v>
      </c>
      <c r="B3" s="5"/>
    </row>
    <row r="5" spans="1:16" s="1" customFormat="1" ht="13" x14ac:dyDescent="0.3">
      <c r="C5" s="8" t="s">
        <v>64</v>
      </c>
      <c r="D5" s="8" t="s">
        <v>65</v>
      </c>
      <c r="E5" s="8" t="s">
        <v>66</v>
      </c>
      <c r="F5" s="8" t="s">
        <v>67</v>
      </c>
      <c r="G5" s="8" t="s">
        <v>68</v>
      </c>
      <c r="H5" s="8" t="s">
        <v>69</v>
      </c>
      <c r="I5" s="8" t="s">
        <v>70</v>
      </c>
      <c r="J5" s="8" t="s">
        <v>71</v>
      </c>
      <c r="K5" s="8" t="s">
        <v>72</v>
      </c>
      <c r="L5" s="8" t="s">
        <v>60</v>
      </c>
      <c r="M5" s="8" t="s">
        <v>61</v>
      </c>
      <c r="N5" s="8" t="s">
        <v>62</v>
      </c>
      <c r="P5" s="8" t="s">
        <v>3</v>
      </c>
    </row>
    <row r="6" spans="1:16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2007</v>
      </c>
      <c r="M6" s="7">
        <v>2007</v>
      </c>
      <c r="N6" s="7">
        <v>2007</v>
      </c>
      <c r="P6" s="7">
        <v>2006</v>
      </c>
    </row>
    <row r="7" spans="1:16" s="9" customFormat="1" ht="15.5" x14ac:dyDescent="0.35">
      <c r="A7" s="4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6" ht="13" x14ac:dyDescent="0.3">
      <c r="B8" t="s">
        <v>8</v>
      </c>
      <c r="C8" s="13">
        <f>'P_L Workings'!F46</f>
        <v>1390274.5</v>
      </c>
      <c r="D8" s="13">
        <f>'P_L Workings'!G46</f>
        <v>1486155.5</v>
      </c>
      <c r="E8" s="13">
        <f>'P_L Workings'!H46</f>
        <v>1523925</v>
      </c>
      <c r="F8" s="13">
        <f>'P_L Workings'!I46</f>
        <v>1663289.5</v>
      </c>
      <c r="G8" s="13">
        <f>'P_L Workings'!J46</f>
        <v>1663289.5</v>
      </c>
      <c r="H8" s="13">
        <f>'P_L Workings'!K46</f>
        <v>1438215</v>
      </c>
      <c r="I8" s="13">
        <f>'P_L Workings'!L46</f>
        <v>1486155.5</v>
      </c>
      <c r="J8" s="13">
        <f>'P_L Workings'!M46</f>
        <v>1390274.5</v>
      </c>
      <c r="K8" s="13">
        <f>'P_L Workings'!N46</f>
        <v>1512725.5999999999</v>
      </c>
      <c r="L8" s="13">
        <f>'P_L Workings'!O46</f>
        <v>910869.5</v>
      </c>
      <c r="M8" s="13">
        <f>'P_L Workings'!P46</f>
        <v>1294393.5</v>
      </c>
      <c r="N8" s="13">
        <f>'P_L Workings'!Q46</f>
        <v>1486155.5</v>
      </c>
      <c r="P8" s="2">
        <f t="shared" ref="P8:P17" si="0">SUM(C8:N8)</f>
        <v>17245723.100000001</v>
      </c>
    </row>
    <row r="9" spans="1:16" ht="13" x14ac:dyDescent="0.3">
      <c r="B9" t="s">
        <v>9</v>
      </c>
      <c r="C9" s="13">
        <f>'P_L Workings'!F69</f>
        <v>9113.83</v>
      </c>
      <c r="D9" s="13">
        <f>'P_L Workings'!G69</f>
        <v>9742.369999999999</v>
      </c>
      <c r="E9" s="13">
        <f>'P_L Workings'!H69</f>
        <v>23570.250000000007</v>
      </c>
      <c r="F9" s="13">
        <f>'P_L Workings'!I69</f>
        <v>24355.925000000007</v>
      </c>
      <c r="G9" s="13">
        <f>'P_L Workings'!J69</f>
        <v>24355.925000000007</v>
      </c>
      <c r="H9" s="13">
        <f>'P_L Workings'!K69</f>
        <v>9428.0999999999985</v>
      </c>
      <c r="I9" s="13">
        <f>'P_L Workings'!L69</f>
        <v>9742.369999999999</v>
      </c>
      <c r="J9" s="13">
        <f>'P_L Workings'!M69</f>
        <v>9113.83</v>
      </c>
      <c r="K9" s="13">
        <f>'P_L Workings'!N69</f>
        <v>15587.791999999999</v>
      </c>
      <c r="L9" s="13">
        <f>'P_L Workings'!O69</f>
        <v>5971.1299999999992</v>
      </c>
      <c r="M9" s="13">
        <f>'P_L Workings'!P69</f>
        <v>8485.2899999999991</v>
      </c>
      <c r="N9" s="13">
        <f>'P_L Workings'!Q69</f>
        <v>9742.369999999999</v>
      </c>
      <c r="P9" s="2">
        <f t="shared" si="0"/>
        <v>159209.18200000003</v>
      </c>
    </row>
    <row r="10" spans="1:16" ht="13" hidden="1" x14ac:dyDescent="0.3">
      <c r="B10" t="s">
        <v>10</v>
      </c>
      <c r="P10" s="2">
        <f t="shared" si="0"/>
        <v>0</v>
      </c>
    </row>
    <row r="11" spans="1:16" ht="13" hidden="1" x14ac:dyDescent="0.3">
      <c r="B11" t="s">
        <v>11</v>
      </c>
      <c r="P11" s="2">
        <f t="shared" si="0"/>
        <v>0</v>
      </c>
    </row>
    <row r="12" spans="1:16" ht="13" hidden="1" x14ac:dyDescent="0.3">
      <c r="B12" t="s">
        <v>12</v>
      </c>
      <c r="P12" s="2">
        <f t="shared" si="0"/>
        <v>0</v>
      </c>
    </row>
    <row r="13" spans="1:16" ht="13" hidden="1" x14ac:dyDescent="0.3">
      <c r="B13" t="s">
        <v>13</v>
      </c>
      <c r="P13" s="2">
        <f t="shared" si="0"/>
        <v>0</v>
      </c>
    </row>
    <row r="14" spans="1:16" ht="13" hidden="1" x14ac:dyDescent="0.3">
      <c r="B14" t="s">
        <v>14</v>
      </c>
      <c r="P14" s="2">
        <f t="shared" si="0"/>
        <v>0</v>
      </c>
    </row>
    <row r="15" spans="1:16" ht="13" hidden="1" x14ac:dyDescent="0.3">
      <c r="B15" t="s">
        <v>15</v>
      </c>
      <c r="P15" s="2">
        <f t="shared" si="0"/>
        <v>0</v>
      </c>
    </row>
    <row r="16" spans="1:16" ht="13" hidden="1" x14ac:dyDescent="0.3">
      <c r="B16" t="s">
        <v>16</v>
      </c>
      <c r="P16" s="2">
        <f t="shared" si="0"/>
        <v>0</v>
      </c>
    </row>
    <row r="17" spans="1:16" ht="13" x14ac:dyDescent="0.3">
      <c r="B17" t="s">
        <v>17</v>
      </c>
      <c r="C17" s="24">
        <f>'P_L Workings'!F74</f>
        <v>20300</v>
      </c>
      <c r="D17" s="24">
        <f>'P_L Workings'!G74</f>
        <v>21700</v>
      </c>
      <c r="E17" s="24">
        <f>'P_L Workings'!H74</f>
        <v>21000</v>
      </c>
      <c r="F17" s="24">
        <f>'P_L Workings'!I74</f>
        <v>21700</v>
      </c>
      <c r="G17" s="24">
        <f>'P_L Workings'!J74</f>
        <v>21700</v>
      </c>
      <c r="H17" s="24">
        <f>'P_L Workings'!K74</f>
        <v>21000</v>
      </c>
      <c r="I17" s="24">
        <f>'P_L Workings'!L74</f>
        <v>21700</v>
      </c>
      <c r="J17" s="24">
        <f>'P_L Workings'!M74</f>
        <v>20300</v>
      </c>
      <c r="K17" s="24">
        <f>'P_L Workings'!N74</f>
        <v>21700</v>
      </c>
      <c r="L17" s="24">
        <f>'P_L Workings'!O74</f>
        <v>13300</v>
      </c>
      <c r="M17" s="24">
        <f>'P_L Workings'!P74</f>
        <v>18900</v>
      </c>
      <c r="N17" s="24">
        <f>'P_L Workings'!Q74</f>
        <v>21700</v>
      </c>
      <c r="P17" s="2">
        <f t="shared" si="0"/>
        <v>245000</v>
      </c>
    </row>
    <row r="18" spans="1:16" ht="14" x14ac:dyDescent="0.3">
      <c r="A18" s="14" t="s">
        <v>18</v>
      </c>
      <c r="C18" s="15">
        <f t="shared" ref="C18:N18" si="1">SUM(C8:C17)</f>
        <v>1419688.33</v>
      </c>
      <c r="D18" s="15">
        <f t="shared" si="1"/>
        <v>1517597.87</v>
      </c>
      <c r="E18" s="15">
        <f t="shared" si="1"/>
        <v>1568495.25</v>
      </c>
      <c r="F18" s="15">
        <f t="shared" si="1"/>
        <v>1709345.425</v>
      </c>
      <c r="G18" s="15">
        <f t="shared" si="1"/>
        <v>1709345.425</v>
      </c>
      <c r="H18" s="15">
        <f t="shared" si="1"/>
        <v>1468643.1</v>
      </c>
      <c r="I18" s="15">
        <f t="shared" si="1"/>
        <v>1517597.87</v>
      </c>
      <c r="J18" s="15">
        <f t="shared" si="1"/>
        <v>1419688.33</v>
      </c>
      <c r="K18" s="15">
        <f t="shared" si="1"/>
        <v>1550013.3919999998</v>
      </c>
      <c r="L18" s="15">
        <f t="shared" si="1"/>
        <v>930140.63</v>
      </c>
      <c r="M18" s="15">
        <f t="shared" si="1"/>
        <v>1321778.79</v>
      </c>
      <c r="N18" s="15">
        <f t="shared" si="1"/>
        <v>1517597.87</v>
      </c>
      <c r="P18" s="15">
        <f>SUM(P8:P17)</f>
        <v>17649932.282000002</v>
      </c>
    </row>
    <row r="19" spans="1:16" ht="13" x14ac:dyDescent="0.3">
      <c r="P19" s="3"/>
    </row>
    <row r="20" spans="1:16" ht="15.5" x14ac:dyDescent="0.35">
      <c r="A20" s="4" t="s">
        <v>19</v>
      </c>
      <c r="P20" s="3"/>
    </row>
    <row r="21" spans="1:16" ht="6" customHeight="1" x14ac:dyDescent="0.35">
      <c r="A21" s="4"/>
      <c r="P21" s="3"/>
    </row>
    <row r="22" spans="1:16" ht="15.5" x14ac:dyDescent="0.35">
      <c r="A22" s="17" t="s">
        <v>20</v>
      </c>
      <c r="P22" s="3"/>
    </row>
    <row r="23" spans="1:16" ht="13" x14ac:dyDescent="0.3">
      <c r="B23" t="s">
        <v>21</v>
      </c>
      <c r="C23" s="18">
        <f>'P_L Workings'!F81</f>
        <v>0</v>
      </c>
      <c r="D23" s="18">
        <f>'P_L Workings'!G81</f>
        <v>0</v>
      </c>
      <c r="E23" s="18">
        <f>'P_L Workings'!H81</f>
        <v>0</v>
      </c>
      <c r="F23" s="18">
        <f>'P_L Workings'!I81</f>
        <v>0</v>
      </c>
      <c r="G23" s="18">
        <f>'P_L Workings'!J81</f>
        <v>0</v>
      </c>
      <c r="H23" s="18">
        <f>'P_L Workings'!K81</f>
        <v>0</v>
      </c>
      <c r="I23" s="18">
        <f>'P_L Workings'!L81</f>
        <v>0</v>
      </c>
      <c r="J23" s="18">
        <f>'P_L Workings'!M81</f>
        <v>0</v>
      </c>
      <c r="K23" s="18">
        <f>'P_L Workings'!N81</f>
        <v>0</v>
      </c>
      <c r="L23" s="18">
        <f>'P_L Workings'!O81</f>
        <v>0</v>
      </c>
      <c r="M23" s="18">
        <f>'P_L Workings'!P81</f>
        <v>0</v>
      </c>
      <c r="N23" s="18">
        <f>'P_L Workings'!Q81</f>
        <v>0</v>
      </c>
      <c r="P23" s="18">
        <f>SUM(C23:N23)</f>
        <v>0</v>
      </c>
    </row>
    <row r="24" spans="1:16" ht="13" hidden="1" x14ac:dyDescent="0.3">
      <c r="B24" t="s">
        <v>16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P24" s="3"/>
    </row>
    <row r="25" spans="1:16" ht="13" hidden="1" x14ac:dyDescent="0.3">
      <c r="B25" t="s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P25" s="3"/>
    </row>
    <row r="26" spans="1:16" ht="14" hidden="1" x14ac:dyDescent="0.3">
      <c r="B26" s="19" t="s">
        <v>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P26" s="3"/>
    </row>
    <row r="27" spans="1:16" ht="6" customHeight="1" x14ac:dyDescent="0.3"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P27" s="3"/>
    </row>
    <row r="28" spans="1:16" ht="15.5" x14ac:dyDescent="0.35">
      <c r="A28" s="17" t="s">
        <v>23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P28" s="3"/>
    </row>
    <row r="29" spans="1:16" ht="13" x14ac:dyDescent="0.3">
      <c r="B29" t="s">
        <v>9</v>
      </c>
      <c r="C29" s="18">
        <f>'P_L Workings'!F90</f>
        <v>20714.285714285717</v>
      </c>
      <c r="D29" s="18">
        <f>'P_L Workings'!G90</f>
        <v>22142.857142857145</v>
      </c>
      <c r="E29" s="18">
        <f>'P_L Workings'!H90</f>
        <v>21428.571428571431</v>
      </c>
      <c r="F29" s="18">
        <f>'P_L Workings'!I90</f>
        <v>22142.857142857145</v>
      </c>
      <c r="G29" s="18">
        <f>'P_L Workings'!J90</f>
        <v>22142.857142857145</v>
      </c>
      <c r="H29" s="18">
        <f>'P_L Workings'!K90</f>
        <v>21428.571428571431</v>
      </c>
      <c r="I29" s="18">
        <f>'P_L Workings'!L90</f>
        <v>22142.857142857145</v>
      </c>
      <c r="J29" s="18">
        <f>'P_L Workings'!M90</f>
        <v>20714.285714285717</v>
      </c>
      <c r="K29" s="18">
        <f>'P_L Workings'!N90</f>
        <v>22142.857142857145</v>
      </c>
      <c r="L29" s="18">
        <f>'P_L Workings'!O90</f>
        <v>13571.428571428572</v>
      </c>
      <c r="M29" s="18">
        <f>'P_L Workings'!P90</f>
        <v>19285.714285714286</v>
      </c>
      <c r="N29" s="18">
        <f>'P_L Workings'!Q90</f>
        <v>22142.857142857145</v>
      </c>
      <c r="P29" s="18">
        <f>SUM(C29:N29)</f>
        <v>250000</v>
      </c>
    </row>
    <row r="30" spans="1:16" ht="14" hidden="1" x14ac:dyDescent="0.3">
      <c r="B30" s="19" t="s">
        <v>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P30" s="3"/>
    </row>
    <row r="31" spans="1:16" ht="6" customHeight="1" x14ac:dyDescent="0.3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P31" s="3"/>
    </row>
    <row r="32" spans="1:16" ht="15.5" x14ac:dyDescent="0.35">
      <c r="A32" s="17" t="s">
        <v>24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P32" s="3"/>
    </row>
    <row r="33" spans="1:16" ht="13" x14ac:dyDescent="0.3">
      <c r="B33" t="s">
        <v>25</v>
      </c>
      <c r="C33" s="13">
        <f>'P_L Workings'!F94</f>
        <v>477976.16666666669</v>
      </c>
      <c r="D33" s="13">
        <f>'P_L Workings'!G94</f>
        <v>477976.16666666669</v>
      </c>
      <c r="E33" s="13">
        <f>'P_L Workings'!H94</f>
        <v>477976.16666666669</v>
      </c>
      <c r="F33" s="13">
        <f>'P_L Workings'!I94</f>
        <v>477976.16666666669</v>
      </c>
      <c r="G33" s="13">
        <f>'P_L Workings'!J94</f>
        <v>477976.16666666669</v>
      </c>
      <c r="H33" s="13">
        <f>'P_L Workings'!K94</f>
        <v>477976.16666666669</v>
      </c>
      <c r="I33" s="13">
        <f>'P_L Workings'!L94</f>
        <v>477976.16666666669</v>
      </c>
      <c r="J33" s="13">
        <f>'P_L Workings'!M94</f>
        <v>477976.16666666669</v>
      </c>
      <c r="K33" s="13">
        <f>'P_L Workings'!N94</f>
        <v>477976.16666666669</v>
      </c>
      <c r="L33" s="13">
        <f>'P_L Workings'!O94</f>
        <v>477976.16666666669</v>
      </c>
      <c r="M33" s="13">
        <f>'P_L Workings'!P94</f>
        <v>477976.16666666669</v>
      </c>
      <c r="N33" s="13">
        <f>'P_L Workings'!Q94</f>
        <v>477976.16666666669</v>
      </c>
      <c r="P33" s="2">
        <f t="shared" ref="P33:P45" si="2">SUM(C33:N33)</f>
        <v>5735714.0000000009</v>
      </c>
    </row>
    <row r="34" spans="1:16" ht="13" x14ac:dyDescent="0.3">
      <c r="B34" t="s">
        <v>26</v>
      </c>
      <c r="C34" s="13">
        <f>'P_L Workings'!F95</f>
        <v>20833.333333333332</v>
      </c>
      <c r="D34" s="13">
        <f>'P_L Workings'!G95</f>
        <v>20833.333333333332</v>
      </c>
      <c r="E34" s="13">
        <f>'P_L Workings'!H95</f>
        <v>20833.333333333332</v>
      </c>
      <c r="F34" s="13">
        <f>'P_L Workings'!I95</f>
        <v>20833.333333333332</v>
      </c>
      <c r="G34" s="13">
        <f>'P_L Workings'!J95</f>
        <v>20833.333333333332</v>
      </c>
      <c r="H34" s="13">
        <f>'P_L Workings'!K95</f>
        <v>20833.333333333332</v>
      </c>
      <c r="I34" s="13">
        <f>'P_L Workings'!L95</f>
        <v>20833.333333333332</v>
      </c>
      <c r="J34" s="13">
        <f>'P_L Workings'!M95</f>
        <v>20833.333333333332</v>
      </c>
      <c r="K34" s="13">
        <f>'P_L Workings'!N95</f>
        <v>20833.333333333332</v>
      </c>
      <c r="L34" s="13">
        <f>'P_L Workings'!O95</f>
        <v>20833.333333333332</v>
      </c>
      <c r="M34" s="13">
        <f>'P_L Workings'!P95</f>
        <v>20833.333333333332</v>
      </c>
      <c r="N34" s="13">
        <f>'P_L Workings'!Q95</f>
        <v>20833.333333333332</v>
      </c>
      <c r="P34" s="2">
        <f t="shared" si="2"/>
        <v>250000.00000000003</v>
      </c>
    </row>
    <row r="35" spans="1:16" ht="13" x14ac:dyDescent="0.3">
      <c r="B35" t="s">
        <v>27</v>
      </c>
      <c r="C35" s="13">
        <f>'P_L Workings'!F102</f>
        <v>255296.86000000002</v>
      </c>
      <c r="D35" s="13">
        <f>'P_L Workings'!G102</f>
        <v>272903.53999999998</v>
      </c>
      <c r="E35" s="13">
        <f>'P_L Workings'!H102</f>
        <v>264100.2</v>
      </c>
      <c r="F35" s="13">
        <f>'P_L Workings'!I102</f>
        <v>272903.53999999998</v>
      </c>
      <c r="G35" s="13">
        <f>'P_L Workings'!J102</f>
        <v>272903.53999999998</v>
      </c>
      <c r="H35" s="13">
        <f>'P_L Workings'!K102</f>
        <v>264100.2</v>
      </c>
      <c r="I35" s="13">
        <f>'P_L Workings'!L102</f>
        <v>272903.53999999998</v>
      </c>
      <c r="J35" s="13">
        <f>'P_L Workings'!M102</f>
        <v>255296.86000000002</v>
      </c>
      <c r="K35" s="13">
        <f>'P_L Workings'!N102</f>
        <v>272903.53999999998</v>
      </c>
      <c r="L35" s="13">
        <f>'P_L Workings'!O102</f>
        <v>167263.46</v>
      </c>
      <c r="M35" s="13">
        <f>'P_L Workings'!P102</f>
        <v>237690.18</v>
      </c>
      <c r="N35" s="13">
        <f>'P_L Workings'!Q102</f>
        <v>272903.53999999998</v>
      </c>
      <c r="P35" s="2">
        <f t="shared" si="2"/>
        <v>3081169.0000000005</v>
      </c>
    </row>
    <row r="36" spans="1:16" ht="13" x14ac:dyDescent="0.3">
      <c r="B36" t="s">
        <v>28</v>
      </c>
      <c r="C36" s="13">
        <f>'P_L Workings'!F104</f>
        <v>14583.333333333334</v>
      </c>
      <c r="D36" s="13">
        <f>'P_L Workings'!G104</f>
        <v>14583.333333333334</v>
      </c>
      <c r="E36" s="13">
        <f>'P_L Workings'!H104</f>
        <v>14583.333333333334</v>
      </c>
      <c r="F36" s="13">
        <f>'P_L Workings'!I104</f>
        <v>14583.333333333334</v>
      </c>
      <c r="G36" s="13">
        <f>'P_L Workings'!J104</f>
        <v>14583.333333333334</v>
      </c>
      <c r="H36" s="13">
        <f>'P_L Workings'!K104</f>
        <v>14583.333333333334</v>
      </c>
      <c r="I36" s="13">
        <f>'P_L Workings'!L104</f>
        <v>14583.333333333334</v>
      </c>
      <c r="J36" s="13">
        <f>'P_L Workings'!M104</f>
        <v>14583.333333333334</v>
      </c>
      <c r="K36" s="13">
        <f>'P_L Workings'!N104</f>
        <v>14583.333333333334</v>
      </c>
      <c r="L36" s="13">
        <f>'P_L Workings'!O104</f>
        <v>14583.333333333334</v>
      </c>
      <c r="M36" s="13">
        <f>'P_L Workings'!P104</f>
        <v>14583.333333333334</v>
      </c>
      <c r="N36" s="13">
        <f>'P_L Workings'!Q104</f>
        <v>14583.333333333334</v>
      </c>
      <c r="P36" s="2">
        <f t="shared" si="2"/>
        <v>175000.00000000003</v>
      </c>
    </row>
    <row r="37" spans="1:16" ht="13" x14ac:dyDescent="0.3">
      <c r="B37" t="s">
        <v>73</v>
      </c>
      <c r="C37" s="13">
        <f>'P_L Workings'!F108</f>
        <v>3728.5714285714289</v>
      </c>
      <c r="D37" s="13">
        <f>'P_L Workings'!G108</f>
        <v>3985.7142857142862</v>
      </c>
      <c r="E37" s="13">
        <f>'P_L Workings'!H108</f>
        <v>3857.1428571428573</v>
      </c>
      <c r="F37" s="13">
        <f>'P_L Workings'!I108</f>
        <v>3985.7142857142862</v>
      </c>
      <c r="G37" s="13">
        <f>'P_L Workings'!J108</f>
        <v>3985.7142857142862</v>
      </c>
      <c r="H37" s="13">
        <f>'P_L Workings'!K108</f>
        <v>3857.1428571428573</v>
      </c>
      <c r="I37" s="13">
        <f>'P_L Workings'!L108</f>
        <v>3985.7142857142862</v>
      </c>
      <c r="J37" s="13">
        <f>'P_L Workings'!M108</f>
        <v>3728.5714285714289</v>
      </c>
      <c r="K37" s="13">
        <f>'P_L Workings'!N108</f>
        <v>3985.7142857142862</v>
      </c>
      <c r="L37" s="13">
        <f>'P_L Workings'!O108</f>
        <v>2442.8571428571431</v>
      </c>
      <c r="M37" s="13">
        <f>'P_L Workings'!P108</f>
        <v>3471.4285714285716</v>
      </c>
      <c r="N37" s="13">
        <f>'P_L Workings'!Q108</f>
        <v>3985.7142857142862</v>
      </c>
      <c r="P37" s="2">
        <f t="shared" si="2"/>
        <v>45000</v>
      </c>
    </row>
    <row r="38" spans="1:16" ht="13" x14ac:dyDescent="0.3">
      <c r="B38" t="s">
        <v>74</v>
      </c>
      <c r="C38" s="13">
        <f>'P_L Workings'!F113</f>
        <v>29828.571428571431</v>
      </c>
      <c r="D38" s="13">
        <f>'P_L Workings'!G113</f>
        <v>31885.71428571429</v>
      </c>
      <c r="E38" s="13">
        <f>'P_L Workings'!H113</f>
        <v>30857.142857142859</v>
      </c>
      <c r="F38" s="13">
        <f>'P_L Workings'!I113</f>
        <v>31885.71428571429</v>
      </c>
      <c r="G38" s="13">
        <f>'P_L Workings'!J113</f>
        <v>31885.71428571429</v>
      </c>
      <c r="H38" s="13">
        <f>'P_L Workings'!K113</f>
        <v>30857.142857142859</v>
      </c>
      <c r="I38" s="13">
        <f>'P_L Workings'!L113</f>
        <v>31885.71428571429</v>
      </c>
      <c r="J38" s="13">
        <f>'P_L Workings'!M113</f>
        <v>29828.571428571431</v>
      </c>
      <c r="K38" s="13">
        <f>'P_L Workings'!N113</f>
        <v>31885.71428571429</v>
      </c>
      <c r="L38" s="13">
        <f>'P_L Workings'!O113</f>
        <v>19542.857142857145</v>
      </c>
      <c r="M38" s="13">
        <f>'P_L Workings'!P113</f>
        <v>27771.428571428572</v>
      </c>
      <c r="N38" s="13">
        <f>'P_L Workings'!Q113</f>
        <v>31885.71428571429</v>
      </c>
      <c r="P38" s="2">
        <f t="shared" si="2"/>
        <v>360000</v>
      </c>
    </row>
    <row r="39" spans="1:16" ht="13" x14ac:dyDescent="0.3">
      <c r="B39" t="s">
        <v>75</v>
      </c>
      <c r="C39" s="13">
        <f>'P_L Workings'!F118</f>
        <v>111857.14285714287</v>
      </c>
      <c r="D39" s="13">
        <f>'P_L Workings'!G118</f>
        <v>119571.42857142858</v>
      </c>
      <c r="E39" s="13">
        <f>'P_L Workings'!H118</f>
        <v>115714.28571428572</v>
      </c>
      <c r="F39" s="13">
        <f>'P_L Workings'!I118</f>
        <v>119571.42857142858</v>
      </c>
      <c r="G39" s="13">
        <f>'P_L Workings'!J118</f>
        <v>119571.42857142858</v>
      </c>
      <c r="H39" s="13">
        <f>'P_L Workings'!K118</f>
        <v>115714.28571428572</v>
      </c>
      <c r="I39" s="13">
        <f>'P_L Workings'!L118</f>
        <v>119571.42857142858</v>
      </c>
      <c r="J39" s="13">
        <f>'P_L Workings'!M118</f>
        <v>111857.14285714287</v>
      </c>
      <c r="K39" s="13">
        <f>'P_L Workings'!N118</f>
        <v>119571.42857142858</v>
      </c>
      <c r="L39" s="13">
        <f>'P_L Workings'!O118</f>
        <v>73285.71428571429</v>
      </c>
      <c r="M39" s="13">
        <f>'P_L Workings'!P118</f>
        <v>104142.85714285714</v>
      </c>
      <c r="N39" s="13">
        <f>'P_L Workings'!Q118</f>
        <v>119571.42857142858</v>
      </c>
      <c r="P39" s="2">
        <f t="shared" si="2"/>
        <v>1350000</v>
      </c>
    </row>
    <row r="40" spans="1:16" ht="13" x14ac:dyDescent="0.3">
      <c r="B40" t="s">
        <v>32</v>
      </c>
      <c r="C40" s="13">
        <f>'P_L Workings'!F120</f>
        <v>5000</v>
      </c>
      <c r="D40" s="13">
        <f>'P_L Workings'!G120</f>
        <v>5000</v>
      </c>
      <c r="E40" s="13">
        <f>'P_L Workings'!H120</f>
        <v>5000</v>
      </c>
      <c r="F40" s="13">
        <f>'P_L Workings'!I120</f>
        <v>5000</v>
      </c>
      <c r="G40" s="13">
        <f>'P_L Workings'!J120</f>
        <v>5000</v>
      </c>
      <c r="H40" s="13">
        <f>'P_L Workings'!K120</f>
        <v>5000</v>
      </c>
      <c r="I40" s="13">
        <f>'P_L Workings'!L120</f>
        <v>5000</v>
      </c>
      <c r="J40" s="13">
        <f>'P_L Workings'!M120</f>
        <v>5000</v>
      </c>
      <c r="K40" s="13">
        <f>'P_L Workings'!N120</f>
        <v>5000</v>
      </c>
      <c r="L40" s="13">
        <f>'P_L Workings'!O120</f>
        <v>5000</v>
      </c>
      <c r="M40" s="13">
        <f>'P_L Workings'!P120</f>
        <v>5000</v>
      </c>
      <c r="N40" s="13">
        <f>'P_L Workings'!Q120</f>
        <v>5000</v>
      </c>
      <c r="P40" s="2">
        <f t="shared" si="2"/>
        <v>60000</v>
      </c>
    </row>
    <row r="41" spans="1:16" ht="13" x14ac:dyDescent="0.3">
      <c r="B41" t="s">
        <v>33</v>
      </c>
      <c r="C41" s="13">
        <f>'P_L Workings'!F121</f>
        <v>8000</v>
      </c>
      <c r="D41" s="13">
        <f>'P_L Workings'!G121</f>
        <v>8000</v>
      </c>
      <c r="E41" s="13">
        <f>'P_L Workings'!H121</f>
        <v>8000</v>
      </c>
      <c r="F41" s="13">
        <f>'P_L Workings'!I121</f>
        <v>8000</v>
      </c>
      <c r="G41" s="13">
        <f>'P_L Workings'!J121</f>
        <v>8000</v>
      </c>
      <c r="H41" s="13">
        <f>'P_L Workings'!K121</f>
        <v>8000</v>
      </c>
      <c r="I41" s="13">
        <f>'P_L Workings'!L121</f>
        <v>8000</v>
      </c>
      <c r="J41" s="13">
        <f>'P_L Workings'!M121</f>
        <v>8000</v>
      </c>
      <c r="K41" s="13">
        <f>'P_L Workings'!N121</f>
        <v>8000</v>
      </c>
      <c r="L41" s="13">
        <f>'P_L Workings'!O121</f>
        <v>8000</v>
      </c>
      <c r="M41" s="13">
        <f>'P_L Workings'!P121</f>
        <v>8000</v>
      </c>
      <c r="N41" s="13">
        <f>'P_L Workings'!Q121</f>
        <v>8000</v>
      </c>
      <c r="P41" s="2">
        <f t="shared" si="2"/>
        <v>96000</v>
      </c>
    </row>
    <row r="42" spans="1:16" ht="13" x14ac:dyDescent="0.3">
      <c r="B42" t="s">
        <v>76</v>
      </c>
      <c r="C42" s="13">
        <f>'P_L Workings'!F125</f>
        <v>53857.142857142855</v>
      </c>
      <c r="D42" s="13">
        <f>'P_L Workings'!G125</f>
        <v>57571.428571428572</v>
      </c>
      <c r="E42" s="13">
        <f>'P_L Workings'!H125</f>
        <v>55714.28571428571</v>
      </c>
      <c r="F42" s="13">
        <f>'P_L Workings'!I125</f>
        <v>57571.428571428572</v>
      </c>
      <c r="G42" s="13">
        <f>'P_L Workings'!J125</f>
        <v>57571.428571428572</v>
      </c>
      <c r="H42" s="13">
        <f>'P_L Workings'!K125</f>
        <v>55714.28571428571</v>
      </c>
      <c r="I42" s="13">
        <f>'P_L Workings'!L125</f>
        <v>57571.428571428572</v>
      </c>
      <c r="J42" s="13">
        <f>'P_L Workings'!M125</f>
        <v>53857.142857142855</v>
      </c>
      <c r="K42" s="13">
        <f>'P_L Workings'!N125</f>
        <v>57571.428571428572</v>
      </c>
      <c r="L42" s="13">
        <f>'P_L Workings'!O125</f>
        <v>35285.714285714283</v>
      </c>
      <c r="M42" s="13">
        <f>'P_L Workings'!P125</f>
        <v>50142.857142857145</v>
      </c>
      <c r="N42" s="13">
        <f>'P_L Workings'!Q125</f>
        <v>57571.428571428572</v>
      </c>
      <c r="P42" s="2">
        <f t="shared" si="2"/>
        <v>650000</v>
      </c>
    </row>
    <row r="43" spans="1:16" ht="13" x14ac:dyDescent="0.3">
      <c r="B43" t="s">
        <v>35</v>
      </c>
      <c r="C43" s="13">
        <f>'P_L Workings'!F130</f>
        <v>198857.14285714284</v>
      </c>
      <c r="D43" s="13">
        <f>'P_L Workings'!G130</f>
        <v>212571.42857142855</v>
      </c>
      <c r="E43" s="13">
        <f>'P_L Workings'!H130</f>
        <v>205714.28571428571</v>
      </c>
      <c r="F43" s="13">
        <f>'P_L Workings'!I130</f>
        <v>212571.42857142855</v>
      </c>
      <c r="G43" s="13">
        <f>'P_L Workings'!J130</f>
        <v>212571.42857142855</v>
      </c>
      <c r="H43" s="13">
        <f>'P_L Workings'!K130</f>
        <v>205714.28571428571</v>
      </c>
      <c r="I43" s="13">
        <f>'P_L Workings'!L130</f>
        <v>212571.42857142855</v>
      </c>
      <c r="J43" s="13">
        <f>'P_L Workings'!M130</f>
        <v>198857.14285714284</v>
      </c>
      <c r="K43" s="13">
        <f>'P_L Workings'!N130</f>
        <v>212571.42857142855</v>
      </c>
      <c r="L43" s="13">
        <f>'P_L Workings'!O130</f>
        <v>130285.71428571428</v>
      </c>
      <c r="M43" s="13">
        <f>'P_L Workings'!P130</f>
        <v>185142.85714285713</v>
      </c>
      <c r="N43" s="13">
        <f>'P_L Workings'!Q130</f>
        <v>212571.42857142855</v>
      </c>
      <c r="P43" s="2">
        <f t="shared" si="2"/>
        <v>2400000</v>
      </c>
    </row>
    <row r="44" spans="1:16" ht="13" x14ac:dyDescent="0.3">
      <c r="B44" t="s">
        <v>36</v>
      </c>
      <c r="C44" s="13">
        <f>'P_L Workings'!F135</f>
        <v>32314.285714285714</v>
      </c>
      <c r="D44" s="13">
        <f>'P_L Workings'!G135</f>
        <v>34542.857142857138</v>
      </c>
      <c r="E44" s="13">
        <f>'P_L Workings'!H135</f>
        <v>33428.571428571428</v>
      </c>
      <c r="F44" s="13">
        <f>'P_L Workings'!I135</f>
        <v>34542.857142857138</v>
      </c>
      <c r="G44" s="13">
        <f>'P_L Workings'!J135</f>
        <v>34542.857142857138</v>
      </c>
      <c r="H44" s="13">
        <f>'P_L Workings'!K135</f>
        <v>33428.571428571428</v>
      </c>
      <c r="I44" s="13">
        <f>'P_L Workings'!L135</f>
        <v>34542.857142857138</v>
      </c>
      <c r="J44" s="13">
        <f>'P_L Workings'!M135</f>
        <v>32314.285714285714</v>
      </c>
      <c r="K44" s="13">
        <f>'P_L Workings'!N135</f>
        <v>34542.857142857138</v>
      </c>
      <c r="L44" s="13">
        <f>'P_L Workings'!O135</f>
        <v>21171.428571428569</v>
      </c>
      <c r="M44" s="13">
        <f>'P_L Workings'!P135</f>
        <v>30085.714285714283</v>
      </c>
      <c r="N44" s="13">
        <f>'P_L Workings'!Q135</f>
        <v>34542.857142857138</v>
      </c>
      <c r="P44" s="2">
        <f t="shared" si="2"/>
        <v>390000</v>
      </c>
    </row>
    <row r="45" spans="1:16" ht="13" x14ac:dyDescent="0.3">
      <c r="B45" t="s">
        <v>37</v>
      </c>
      <c r="C45" s="13">
        <f>'P_L Workings'!F140</f>
        <v>24857.142857142855</v>
      </c>
      <c r="D45" s="13">
        <f>'P_L Workings'!G140</f>
        <v>26571.428571428569</v>
      </c>
      <c r="E45" s="13">
        <f>'P_L Workings'!H140</f>
        <v>25714.285714285714</v>
      </c>
      <c r="F45" s="13">
        <f>'P_L Workings'!I140</f>
        <v>26571.428571428569</v>
      </c>
      <c r="G45" s="13">
        <f>'P_L Workings'!J140</f>
        <v>26571.428571428569</v>
      </c>
      <c r="H45" s="13">
        <f>'P_L Workings'!K140</f>
        <v>25714.285714285714</v>
      </c>
      <c r="I45" s="13">
        <f>'P_L Workings'!L140</f>
        <v>26571.428571428569</v>
      </c>
      <c r="J45" s="13">
        <f>'P_L Workings'!M140</f>
        <v>24857.142857142855</v>
      </c>
      <c r="K45" s="13">
        <f>'P_L Workings'!N140</f>
        <v>26571.428571428569</v>
      </c>
      <c r="L45" s="13">
        <f>'P_L Workings'!O140</f>
        <v>16285.714285714284</v>
      </c>
      <c r="M45" s="13">
        <f>'P_L Workings'!P140</f>
        <v>23142.857142857141</v>
      </c>
      <c r="N45" s="13">
        <f>'P_L Workings'!Q140</f>
        <v>26571.428571428569</v>
      </c>
      <c r="P45" s="2">
        <f t="shared" si="2"/>
        <v>300000</v>
      </c>
    </row>
    <row r="46" spans="1:16" ht="14" x14ac:dyDescent="0.3">
      <c r="B46" s="19" t="s">
        <v>3</v>
      </c>
      <c r="C46" s="15">
        <f t="shared" ref="C46:N46" si="3">SUM(C33:C45)</f>
        <v>1236989.6933333334</v>
      </c>
      <c r="D46" s="15">
        <f t="shared" si="3"/>
        <v>1285996.3733333333</v>
      </c>
      <c r="E46" s="15">
        <f t="shared" si="3"/>
        <v>1261493.0333333332</v>
      </c>
      <c r="F46" s="15">
        <f t="shared" si="3"/>
        <v>1285996.3733333333</v>
      </c>
      <c r="G46" s="15">
        <f t="shared" si="3"/>
        <v>1285996.3733333333</v>
      </c>
      <c r="H46" s="15">
        <f t="shared" si="3"/>
        <v>1261493.0333333332</v>
      </c>
      <c r="I46" s="15">
        <f t="shared" si="3"/>
        <v>1285996.3733333333</v>
      </c>
      <c r="J46" s="15">
        <f t="shared" si="3"/>
        <v>1236989.6933333334</v>
      </c>
      <c r="K46" s="15">
        <f t="shared" si="3"/>
        <v>1285996.3733333333</v>
      </c>
      <c r="L46" s="15">
        <f t="shared" si="3"/>
        <v>991956.29333333345</v>
      </c>
      <c r="M46" s="15">
        <f t="shared" si="3"/>
        <v>1187983.0133333332</v>
      </c>
      <c r="N46" s="15">
        <f t="shared" si="3"/>
        <v>1285996.3733333333</v>
      </c>
      <c r="P46" s="15">
        <f>SUM(P33:P45)</f>
        <v>14892883.000000002</v>
      </c>
    </row>
    <row r="47" spans="1:16" ht="6" customHeight="1" x14ac:dyDescent="0.3"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P47" s="3"/>
    </row>
    <row r="48" spans="1:16" ht="15.5" x14ac:dyDescent="0.35">
      <c r="A48" s="17" t="s">
        <v>38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P48" s="3"/>
    </row>
    <row r="49" spans="1:16" ht="13" x14ac:dyDescent="0.3">
      <c r="B49" t="s">
        <v>39</v>
      </c>
      <c r="C49" s="13">
        <f>'P_L Workings'!F145</f>
        <v>10000</v>
      </c>
      <c r="D49" s="13">
        <f>'P_L Workings'!G145</f>
        <v>10000</v>
      </c>
      <c r="E49" s="13">
        <f>'P_L Workings'!H145</f>
        <v>10000</v>
      </c>
      <c r="F49" s="13">
        <f>'P_L Workings'!I145</f>
        <v>10000</v>
      </c>
      <c r="G49" s="13">
        <f>'P_L Workings'!J145</f>
        <v>10000</v>
      </c>
      <c r="H49" s="13">
        <f>'P_L Workings'!K145</f>
        <v>10000</v>
      </c>
      <c r="I49" s="13">
        <f>'P_L Workings'!L145</f>
        <v>10000</v>
      </c>
      <c r="J49" s="13">
        <f>'P_L Workings'!M145</f>
        <v>10000</v>
      </c>
      <c r="K49" s="13">
        <f>'P_L Workings'!N145</f>
        <v>10000</v>
      </c>
      <c r="L49" s="13">
        <f>'P_L Workings'!O145</f>
        <v>10000</v>
      </c>
      <c r="M49" s="13">
        <f>'P_L Workings'!P145</f>
        <v>10000</v>
      </c>
      <c r="N49" s="13">
        <f>'P_L Workings'!Q145</f>
        <v>10000</v>
      </c>
      <c r="P49" s="2">
        <f>SUM(C49:N49)</f>
        <v>120000</v>
      </c>
    </row>
    <row r="50" spans="1:16" ht="13" x14ac:dyDescent="0.3">
      <c r="B50" t="s">
        <v>40</v>
      </c>
      <c r="C50" s="13">
        <f>'P_L Workings'!F146</f>
        <v>6250</v>
      </c>
      <c r="D50" s="13">
        <f>'P_L Workings'!G146</f>
        <v>6250</v>
      </c>
      <c r="E50" s="13">
        <f>'P_L Workings'!H146</f>
        <v>6250</v>
      </c>
      <c r="F50" s="13">
        <f>'P_L Workings'!I146</f>
        <v>6250</v>
      </c>
      <c r="G50" s="13">
        <f>'P_L Workings'!J146</f>
        <v>6250</v>
      </c>
      <c r="H50" s="13">
        <f>'P_L Workings'!K146</f>
        <v>6250</v>
      </c>
      <c r="I50" s="13">
        <f>'P_L Workings'!L146</f>
        <v>6250</v>
      </c>
      <c r="J50" s="13">
        <f>'P_L Workings'!M146</f>
        <v>6250</v>
      </c>
      <c r="K50" s="13">
        <f>'P_L Workings'!N146</f>
        <v>6250</v>
      </c>
      <c r="L50" s="13">
        <f>'P_L Workings'!O146</f>
        <v>6250</v>
      </c>
      <c r="M50" s="13">
        <f>'P_L Workings'!P146</f>
        <v>6250</v>
      </c>
      <c r="N50" s="13">
        <f>'P_L Workings'!Q146</f>
        <v>6250</v>
      </c>
      <c r="P50" s="2">
        <f>SUM(C50:N50)</f>
        <v>75000</v>
      </c>
    </row>
    <row r="51" spans="1:16" ht="13" x14ac:dyDescent="0.3">
      <c r="B51" t="s">
        <v>41</v>
      </c>
      <c r="C51" s="13">
        <f>'P_L Workings'!F147</f>
        <v>4166.666666666667</v>
      </c>
      <c r="D51" s="13">
        <f>'P_L Workings'!G147</f>
        <v>4166.666666666667</v>
      </c>
      <c r="E51" s="13">
        <f>'P_L Workings'!H147</f>
        <v>4166.666666666667</v>
      </c>
      <c r="F51" s="13">
        <f>'P_L Workings'!I147</f>
        <v>4166.666666666667</v>
      </c>
      <c r="G51" s="13">
        <f>'P_L Workings'!J147</f>
        <v>4166.666666666667</v>
      </c>
      <c r="H51" s="13">
        <f>'P_L Workings'!K147</f>
        <v>4166.666666666667</v>
      </c>
      <c r="I51" s="13">
        <f>'P_L Workings'!L147</f>
        <v>4166.666666666667</v>
      </c>
      <c r="J51" s="13">
        <f>'P_L Workings'!M147</f>
        <v>4166.666666666667</v>
      </c>
      <c r="K51" s="13">
        <f>'P_L Workings'!N147</f>
        <v>4166.666666666667</v>
      </c>
      <c r="L51" s="13">
        <f>'P_L Workings'!O147</f>
        <v>4166.666666666667</v>
      </c>
      <c r="M51" s="13">
        <f>'P_L Workings'!P147</f>
        <v>4166.666666666667</v>
      </c>
      <c r="N51" s="13">
        <f>'P_L Workings'!Q147</f>
        <v>4166.666666666667</v>
      </c>
      <c r="P51" s="2">
        <f>SUM(C51:N51)</f>
        <v>49999.999999999993</v>
      </c>
    </row>
    <row r="52" spans="1:16" ht="13" x14ac:dyDescent="0.3">
      <c r="B52" t="s">
        <v>42</v>
      </c>
      <c r="C52" s="13">
        <f>'P_L Workings'!F148</f>
        <v>8333.3333333333339</v>
      </c>
      <c r="D52" s="13">
        <f>'P_L Workings'!G148</f>
        <v>8333.3333333333339</v>
      </c>
      <c r="E52" s="13">
        <f>'P_L Workings'!H148</f>
        <v>8333.3333333333339</v>
      </c>
      <c r="F52" s="13">
        <f>'P_L Workings'!I148</f>
        <v>8333.3333333333339</v>
      </c>
      <c r="G52" s="13">
        <f>'P_L Workings'!J148</f>
        <v>8333.3333333333339</v>
      </c>
      <c r="H52" s="13">
        <f>'P_L Workings'!K148</f>
        <v>8333.3333333333339</v>
      </c>
      <c r="I52" s="13">
        <f>'P_L Workings'!L148</f>
        <v>8333.3333333333339</v>
      </c>
      <c r="J52" s="13">
        <f>'P_L Workings'!M148</f>
        <v>8333.3333333333339</v>
      </c>
      <c r="K52" s="13">
        <f>'P_L Workings'!N148</f>
        <v>8333.3333333333339</v>
      </c>
      <c r="L52" s="13">
        <f>'P_L Workings'!O148</f>
        <v>8333.3333333333339</v>
      </c>
      <c r="M52" s="13">
        <f>'P_L Workings'!P148</f>
        <v>8333.3333333333339</v>
      </c>
      <c r="N52" s="13">
        <f>'P_L Workings'!Q148</f>
        <v>8333.3333333333339</v>
      </c>
      <c r="P52" s="2">
        <f>SUM(C52:N52)</f>
        <v>99999.999999999985</v>
      </c>
    </row>
    <row r="53" spans="1:16" ht="14" x14ac:dyDescent="0.3">
      <c r="B53" s="19" t="s">
        <v>3</v>
      </c>
      <c r="C53" s="15">
        <f t="shared" ref="C53:N53" si="4">SUM(C49:C52)</f>
        <v>28750</v>
      </c>
      <c r="D53" s="15">
        <f t="shared" si="4"/>
        <v>28750</v>
      </c>
      <c r="E53" s="15">
        <f t="shared" si="4"/>
        <v>28750</v>
      </c>
      <c r="F53" s="15">
        <f t="shared" si="4"/>
        <v>28750</v>
      </c>
      <c r="G53" s="15">
        <f t="shared" si="4"/>
        <v>28750</v>
      </c>
      <c r="H53" s="15">
        <f t="shared" si="4"/>
        <v>28750</v>
      </c>
      <c r="I53" s="15">
        <f t="shared" si="4"/>
        <v>28750</v>
      </c>
      <c r="J53" s="15">
        <f t="shared" si="4"/>
        <v>28750</v>
      </c>
      <c r="K53" s="15">
        <f t="shared" si="4"/>
        <v>28750</v>
      </c>
      <c r="L53" s="15">
        <f t="shared" si="4"/>
        <v>28750</v>
      </c>
      <c r="M53" s="15">
        <f t="shared" si="4"/>
        <v>28750</v>
      </c>
      <c r="N53" s="15">
        <f t="shared" si="4"/>
        <v>28750</v>
      </c>
      <c r="P53" s="15">
        <f>SUM(P49:P52)</f>
        <v>345000</v>
      </c>
    </row>
    <row r="54" spans="1:16" ht="6" customHeight="1" x14ac:dyDescent="0.3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P54" s="3"/>
    </row>
    <row r="55" spans="1:16" ht="15.5" x14ac:dyDescent="0.35">
      <c r="A55" s="17" t="s">
        <v>43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P55" s="3"/>
    </row>
    <row r="56" spans="1:16" ht="13" x14ac:dyDescent="0.3">
      <c r="B56" t="s">
        <v>44</v>
      </c>
      <c r="C56" s="13">
        <f>'P_L Workings'!F152</f>
        <v>23750</v>
      </c>
      <c r="D56" s="13">
        <f>'P_L Workings'!G152</f>
        <v>23750</v>
      </c>
      <c r="E56" s="13">
        <f>'P_L Workings'!H152</f>
        <v>23750</v>
      </c>
      <c r="F56" s="13">
        <f>'P_L Workings'!I152</f>
        <v>23750</v>
      </c>
      <c r="G56" s="13">
        <f>'P_L Workings'!J152</f>
        <v>23750</v>
      </c>
      <c r="H56" s="13">
        <f>'P_L Workings'!K152</f>
        <v>23750</v>
      </c>
      <c r="I56" s="13">
        <f>'P_L Workings'!L152</f>
        <v>23750</v>
      </c>
      <c r="J56" s="13">
        <f>'P_L Workings'!M152</f>
        <v>23750</v>
      </c>
      <c r="K56" s="13">
        <f>'P_L Workings'!N152</f>
        <v>23750</v>
      </c>
      <c r="L56" s="13">
        <f>'P_L Workings'!O152</f>
        <v>23750</v>
      </c>
      <c r="M56" s="13">
        <f>'P_L Workings'!P152</f>
        <v>23750</v>
      </c>
      <c r="N56" s="13">
        <f>'P_L Workings'!Q152</f>
        <v>23750</v>
      </c>
      <c r="P56" s="2">
        <f>SUM(C56:N56)</f>
        <v>285000</v>
      </c>
    </row>
    <row r="57" spans="1:16" ht="13" x14ac:dyDescent="0.3">
      <c r="B57" t="s">
        <v>45</v>
      </c>
      <c r="C57" s="13">
        <f>'P_L Workings'!F153</f>
        <v>3375</v>
      </c>
      <c r="D57" s="13">
        <f>'P_L Workings'!G153</f>
        <v>3375</v>
      </c>
      <c r="E57" s="13">
        <f>'P_L Workings'!H153</f>
        <v>3375</v>
      </c>
      <c r="F57" s="13">
        <f>'P_L Workings'!I153</f>
        <v>3375</v>
      </c>
      <c r="G57" s="13">
        <f>'P_L Workings'!J153</f>
        <v>3375</v>
      </c>
      <c r="H57" s="13">
        <f>'P_L Workings'!K153</f>
        <v>3375</v>
      </c>
      <c r="I57" s="13">
        <f>'P_L Workings'!L153</f>
        <v>3375</v>
      </c>
      <c r="J57" s="13">
        <f>'P_L Workings'!M153</f>
        <v>3375</v>
      </c>
      <c r="K57" s="13">
        <f>'P_L Workings'!N153</f>
        <v>3375</v>
      </c>
      <c r="L57" s="13">
        <f>'P_L Workings'!O153</f>
        <v>3375</v>
      </c>
      <c r="M57" s="13">
        <f>'P_L Workings'!P153</f>
        <v>3375</v>
      </c>
      <c r="N57" s="13">
        <f>'P_L Workings'!Q153</f>
        <v>3375</v>
      </c>
      <c r="P57" s="2">
        <f>SUM(C57:N57)</f>
        <v>40500</v>
      </c>
    </row>
    <row r="58" spans="1:16" ht="13" x14ac:dyDescent="0.3">
      <c r="B58" t="s">
        <v>46</v>
      </c>
      <c r="C58" s="13">
        <f>'P_L Workings'!F154</f>
        <v>20833.333333333332</v>
      </c>
      <c r="D58" s="13">
        <f>'P_L Workings'!G154</f>
        <v>20833.333333333332</v>
      </c>
      <c r="E58" s="13">
        <f>'P_L Workings'!H154</f>
        <v>20833.333333333332</v>
      </c>
      <c r="F58" s="13">
        <f>'P_L Workings'!I154</f>
        <v>20833.333333333332</v>
      </c>
      <c r="G58" s="13">
        <f>'P_L Workings'!J154</f>
        <v>20833.333333333332</v>
      </c>
      <c r="H58" s="13">
        <f>'P_L Workings'!K154</f>
        <v>20833.333333333332</v>
      </c>
      <c r="I58" s="13">
        <f>'P_L Workings'!L154</f>
        <v>20833.333333333332</v>
      </c>
      <c r="J58" s="13">
        <f>'P_L Workings'!M154</f>
        <v>20833.333333333332</v>
      </c>
      <c r="K58" s="13">
        <f>'P_L Workings'!N154</f>
        <v>20833.333333333332</v>
      </c>
      <c r="L58" s="13">
        <f>'P_L Workings'!O154</f>
        <v>20833.333333333332</v>
      </c>
      <c r="M58" s="13">
        <f>'P_L Workings'!P154</f>
        <v>20833.333333333332</v>
      </c>
      <c r="N58" s="13">
        <f>'P_L Workings'!Q154</f>
        <v>20833.333333333332</v>
      </c>
      <c r="P58" s="2">
        <f>SUM(C58:N58)</f>
        <v>250000.00000000003</v>
      </c>
    </row>
    <row r="59" spans="1:16" ht="13" x14ac:dyDescent="0.3">
      <c r="B59" t="s">
        <v>47</v>
      </c>
      <c r="C59" s="13">
        <f>'P_L Workings'!F155</f>
        <v>5062.5</v>
      </c>
      <c r="D59" s="13">
        <f>'P_L Workings'!G155</f>
        <v>5062.5</v>
      </c>
      <c r="E59" s="13">
        <f>'P_L Workings'!H155</f>
        <v>5062.5</v>
      </c>
      <c r="F59" s="13">
        <f>'P_L Workings'!I155</f>
        <v>5062.5</v>
      </c>
      <c r="G59" s="13">
        <f>'P_L Workings'!J155</f>
        <v>5062.5</v>
      </c>
      <c r="H59" s="13">
        <f>'P_L Workings'!K155</f>
        <v>5062.5</v>
      </c>
      <c r="I59" s="13">
        <f>'P_L Workings'!L155</f>
        <v>5062.5</v>
      </c>
      <c r="J59" s="13">
        <f>'P_L Workings'!M155</f>
        <v>5062.5</v>
      </c>
      <c r="K59" s="13">
        <f>'P_L Workings'!N155</f>
        <v>5062.5</v>
      </c>
      <c r="L59" s="13">
        <f>'P_L Workings'!O155</f>
        <v>5062.5</v>
      </c>
      <c r="M59" s="13">
        <f>'P_L Workings'!P155</f>
        <v>5062.5</v>
      </c>
      <c r="N59" s="13">
        <f>'P_L Workings'!Q155</f>
        <v>5062.5</v>
      </c>
      <c r="P59" s="2">
        <f>SUM(C59:N59)</f>
        <v>60750</v>
      </c>
    </row>
    <row r="60" spans="1:16" ht="13" x14ac:dyDescent="0.3">
      <c r="B60" t="s">
        <v>48</v>
      </c>
      <c r="C60" s="13">
        <f>'P_L Workings'!F156</f>
        <v>1125</v>
      </c>
      <c r="D60" s="13">
        <f>'P_L Workings'!G156</f>
        <v>1125</v>
      </c>
      <c r="E60" s="13">
        <f>'P_L Workings'!H156</f>
        <v>1125</v>
      </c>
      <c r="F60" s="13">
        <f>'P_L Workings'!I156</f>
        <v>1125</v>
      </c>
      <c r="G60" s="13">
        <f>'P_L Workings'!J156</f>
        <v>1125</v>
      </c>
      <c r="H60" s="13">
        <f>'P_L Workings'!K156</f>
        <v>1125</v>
      </c>
      <c r="I60" s="13">
        <f>'P_L Workings'!L156</f>
        <v>1125</v>
      </c>
      <c r="J60" s="13">
        <f>'P_L Workings'!M156</f>
        <v>1125</v>
      </c>
      <c r="K60" s="13">
        <f>'P_L Workings'!N156</f>
        <v>1125</v>
      </c>
      <c r="L60" s="13">
        <f>'P_L Workings'!O156</f>
        <v>1125</v>
      </c>
      <c r="M60" s="13">
        <f>'P_L Workings'!P156</f>
        <v>1125</v>
      </c>
      <c r="N60" s="13">
        <f>'P_L Workings'!Q156</f>
        <v>1125</v>
      </c>
      <c r="P60" s="2">
        <f>SUM(C60:N60)</f>
        <v>13500</v>
      </c>
    </row>
    <row r="61" spans="1:16" ht="14" x14ac:dyDescent="0.3">
      <c r="B61" s="19" t="s">
        <v>3</v>
      </c>
      <c r="C61" s="15">
        <f t="shared" ref="C61:N61" si="5">SUM(C56:C60)</f>
        <v>54145.833333333328</v>
      </c>
      <c r="D61" s="15">
        <f t="shared" si="5"/>
        <v>54145.833333333328</v>
      </c>
      <c r="E61" s="15">
        <f t="shared" si="5"/>
        <v>54145.833333333328</v>
      </c>
      <c r="F61" s="15">
        <f t="shared" si="5"/>
        <v>54145.833333333328</v>
      </c>
      <c r="G61" s="15">
        <f t="shared" si="5"/>
        <v>54145.833333333328</v>
      </c>
      <c r="H61" s="15">
        <f t="shared" si="5"/>
        <v>54145.833333333328</v>
      </c>
      <c r="I61" s="15">
        <f t="shared" si="5"/>
        <v>54145.833333333328</v>
      </c>
      <c r="J61" s="15">
        <f t="shared" si="5"/>
        <v>54145.833333333328</v>
      </c>
      <c r="K61" s="15">
        <f t="shared" si="5"/>
        <v>54145.833333333328</v>
      </c>
      <c r="L61" s="15">
        <f t="shared" si="5"/>
        <v>54145.833333333328</v>
      </c>
      <c r="M61" s="15">
        <f t="shared" si="5"/>
        <v>54145.833333333328</v>
      </c>
      <c r="N61" s="15">
        <f t="shared" si="5"/>
        <v>54145.833333333328</v>
      </c>
      <c r="P61" s="15">
        <f>SUM(P56:P60)</f>
        <v>649750</v>
      </c>
    </row>
    <row r="62" spans="1:16" ht="6" customHeight="1" x14ac:dyDescent="0.3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P62" s="3"/>
    </row>
    <row r="63" spans="1:16" ht="15.5" x14ac:dyDescent="0.35">
      <c r="A63" s="17" t="s">
        <v>49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P63" s="3"/>
    </row>
    <row r="64" spans="1:16" ht="13" x14ac:dyDescent="0.3">
      <c r="B64" t="s">
        <v>49</v>
      </c>
      <c r="C64" s="18">
        <f>'P_L Workings'!F163</f>
        <v>66285.71428571429</v>
      </c>
      <c r="D64" s="18">
        <f>'P_L Workings'!G163</f>
        <v>70857.142857142855</v>
      </c>
      <c r="E64" s="18">
        <f>'P_L Workings'!H163</f>
        <v>68571.42857142858</v>
      </c>
      <c r="F64" s="18">
        <f>'P_L Workings'!I163</f>
        <v>70857.142857142855</v>
      </c>
      <c r="G64" s="18">
        <f>'P_L Workings'!J163</f>
        <v>70857.142857142855</v>
      </c>
      <c r="H64" s="18">
        <f>'P_L Workings'!K163</f>
        <v>68571.42857142858</v>
      </c>
      <c r="I64" s="18">
        <f>'P_L Workings'!L163</f>
        <v>70857.142857142855</v>
      </c>
      <c r="J64" s="18">
        <f>'P_L Workings'!M163</f>
        <v>66285.71428571429</v>
      </c>
      <c r="K64" s="18">
        <f>'P_L Workings'!N163</f>
        <v>70857.142857142855</v>
      </c>
      <c r="L64" s="18">
        <f>'P_L Workings'!O163</f>
        <v>43428.571428571428</v>
      </c>
      <c r="M64" s="18">
        <f>'P_L Workings'!P163</f>
        <v>61714.285714285717</v>
      </c>
      <c r="N64" s="18">
        <f>'P_L Workings'!Q163</f>
        <v>70857.142857142855</v>
      </c>
      <c r="P64" s="18">
        <f>SUM(C64:N64)</f>
        <v>800000</v>
      </c>
    </row>
    <row r="65" spans="1:16" ht="14" hidden="1" x14ac:dyDescent="0.3">
      <c r="B65" s="19" t="s">
        <v>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P65" s="3"/>
    </row>
    <row r="66" spans="1:16" ht="6" customHeight="1" x14ac:dyDescent="0.3"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P66" s="3"/>
    </row>
    <row r="67" spans="1:16" ht="15.5" x14ac:dyDescent="0.35">
      <c r="A67" s="17" t="s">
        <v>50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P67" s="3"/>
    </row>
    <row r="68" spans="1:16" ht="13.5" customHeight="1" x14ac:dyDescent="0.35">
      <c r="A68" s="17"/>
      <c r="B68" t="s">
        <v>51</v>
      </c>
      <c r="C68" s="13">
        <f>'P_L Workings'!F166</f>
        <v>333.33333333333331</v>
      </c>
      <c r="D68" s="13">
        <f>'P_L Workings'!G166</f>
        <v>327.77777777777783</v>
      </c>
      <c r="E68" s="13">
        <f>'P_L Workings'!H166</f>
        <v>322.31481481481484</v>
      </c>
      <c r="F68" s="13">
        <f>'P_L Workings'!I166</f>
        <v>316.94290123456796</v>
      </c>
      <c r="G68" s="13">
        <f>'P_L Workings'!J166</f>
        <v>311.66051954732512</v>
      </c>
      <c r="H68" s="13">
        <f>'P_L Workings'!K166</f>
        <v>306.46617755486977</v>
      </c>
      <c r="I68" s="13">
        <f>'P_L Workings'!L166</f>
        <v>301.35840792895527</v>
      </c>
      <c r="J68" s="13">
        <f>'P_L Workings'!M166</f>
        <v>296.33576779680601</v>
      </c>
      <c r="K68" s="13">
        <f>'P_L Workings'!N166</f>
        <v>291.39683833352592</v>
      </c>
      <c r="L68" s="13">
        <f>'P_L Workings'!O166</f>
        <v>286.54022436130049</v>
      </c>
      <c r="M68" s="13">
        <f>'P_L Workings'!P166</f>
        <v>281.76455395527881</v>
      </c>
      <c r="N68" s="13">
        <f>'P_L Workings'!Q166</f>
        <v>277.06847805602416</v>
      </c>
      <c r="P68" s="2">
        <f>SUM(C68:N68)</f>
        <v>3652.9597946945787</v>
      </c>
    </row>
    <row r="69" spans="1:16" ht="13.5" customHeight="1" x14ac:dyDescent="0.35">
      <c r="A69" s="17"/>
      <c r="B69" t="s">
        <v>52</v>
      </c>
      <c r="C69" s="13">
        <f>P_L!F69</f>
        <v>23125.000000002099</v>
      </c>
      <c r="D69" s="13">
        <f>P_L!G69</f>
        <v>15019.537614814139</v>
      </c>
      <c r="E69" s="13">
        <f>P_L!H69</f>
        <v>14410.291089725277</v>
      </c>
      <c r="F69" s="13">
        <f>P_L!I69</f>
        <v>13797.236773854611</v>
      </c>
      <c r="G69" s="13">
        <f>P_L!J69</f>
        <v>13180.350868509762</v>
      </c>
      <c r="H69" s="13">
        <f>P_L!K69</f>
        <v>12559.609426256502</v>
      </c>
      <c r="I69" s="13">
        <f>P_L!L69</f>
        <v>11934.988349989164</v>
      </c>
      <c r="J69" s="13">
        <f>P_L!M69</f>
        <v>11306.463391995154</v>
      </c>
      <c r="K69" s="13">
        <f>P_L!N69</f>
        <v>10674.010153013682</v>
      </c>
      <c r="L69" s="13">
        <f>P_L!O69</f>
        <v>10037.604081288579</v>
      </c>
      <c r="M69" s="13">
        <f>P_L!P69</f>
        <v>9397.2204716151937</v>
      </c>
      <c r="N69" s="13">
        <f>P_L!Q69</f>
        <v>8752.8344643813507</v>
      </c>
      <c r="P69" s="2">
        <f>SUM(C69:N69)</f>
        <v>154195.14668544556</v>
      </c>
    </row>
    <row r="70" spans="1:16" ht="13" x14ac:dyDescent="0.3">
      <c r="B70" t="s">
        <v>53</v>
      </c>
      <c r="C70" s="13">
        <f>'P_L Workings'!F168</f>
        <v>6250</v>
      </c>
      <c r="D70" s="13">
        <f>'P_L Workings'!G168</f>
        <v>6250</v>
      </c>
      <c r="E70" s="13">
        <f>'P_L Workings'!H168</f>
        <v>6250</v>
      </c>
      <c r="F70" s="13">
        <f>'P_L Workings'!I168</f>
        <v>6250</v>
      </c>
      <c r="G70" s="13">
        <f>'P_L Workings'!J168</f>
        <v>6250</v>
      </c>
      <c r="H70" s="13">
        <f>'P_L Workings'!K168</f>
        <v>6250</v>
      </c>
      <c r="I70" s="13">
        <f>'P_L Workings'!L168</f>
        <v>6250</v>
      </c>
      <c r="J70" s="13">
        <f>'P_L Workings'!M168</f>
        <v>6250</v>
      </c>
      <c r="K70" s="13">
        <f>'P_L Workings'!N168</f>
        <v>6250</v>
      </c>
      <c r="L70" s="13">
        <f>'P_L Workings'!O168</f>
        <v>6250</v>
      </c>
      <c r="M70" s="13">
        <f>'P_L Workings'!P168</f>
        <v>6250</v>
      </c>
      <c r="N70" s="13">
        <f>'P_L Workings'!Q168</f>
        <v>6250</v>
      </c>
      <c r="P70" s="2">
        <f>SUM(C70:N70)</f>
        <v>75000</v>
      </c>
    </row>
    <row r="71" spans="1:16" ht="13" x14ac:dyDescent="0.3">
      <c r="B71" t="s">
        <v>54</v>
      </c>
      <c r="C71" s="13">
        <f>'P_L Workings'!F169</f>
        <v>0</v>
      </c>
      <c r="D71" s="13">
        <f>'P_L Workings'!G169</f>
        <v>0</v>
      </c>
      <c r="E71" s="13">
        <f>'P_L Workings'!H169</f>
        <v>0</v>
      </c>
      <c r="F71" s="13">
        <f>'P_L Workings'!I169</f>
        <v>0</v>
      </c>
      <c r="G71" s="13">
        <f>'P_L Workings'!J169</f>
        <v>0</v>
      </c>
      <c r="H71" s="13">
        <f>'P_L Workings'!K169</f>
        <v>0</v>
      </c>
      <c r="I71" s="13">
        <f>'P_L Workings'!L169</f>
        <v>0</v>
      </c>
      <c r="J71" s="13">
        <f>'P_L Workings'!M169</f>
        <v>0</v>
      </c>
      <c r="K71" s="13">
        <f>'P_L Workings'!N169</f>
        <v>0</v>
      </c>
      <c r="L71" s="13">
        <f>'P_L Workings'!O169</f>
        <v>0</v>
      </c>
      <c r="M71" s="13">
        <f>'P_L Workings'!P169</f>
        <v>0</v>
      </c>
      <c r="N71" s="13">
        <f>'P_L Workings'!Q169</f>
        <v>0</v>
      </c>
      <c r="P71" s="2">
        <f>SUM(C71:N71)</f>
        <v>0</v>
      </c>
    </row>
    <row r="72" spans="1:16" ht="14" x14ac:dyDescent="0.3">
      <c r="B72" s="19" t="s">
        <v>3</v>
      </c>
      <c r="C72" s="15">
        <f t="shared" ref="C72:N72" si="6">SUM(C68:C71)</f>
        <v>29708.333333335431</v>
      </c>
      <c r="D72" s="15">
        <f t="shared" si="6"/>
        <v>21597.315392591918</v>
      </c>
      <c r="E72" s="15">
        <f t="shared" si="6"/>
        <v>20982.605904540091</v>
      </c>
      <c r="F72" s="15">
        <f t="shared" si="6"/>
        <v>20364.179675089181</v>
      </c>
      <c r="G72" s="15">
        <f t="shared" si="6"/>
        <v>19742.011388057086</v>
      </c>
      <c r="H72" s="15">
        <f t="shared" si="6"/>
        <v>19116.075603811372</v>
      </c>
      <c r="I72" s="15">
        <f t="shared" si="6"/>
        <v>18486.34675791812</v>
      </c>
      <c r="J72" s="15">
        <f t="shared" si="6"/>
        <v>17852.799159791961</v>
      </c>
      <c r="K72" s="15">
        <f t="shared" si="6"/>
        <v>17215.406991347209</v>
      </c>
      <c r="L72" s="15">
        <f t="shared" si="6"/>
        <v>16574.144305649879</v>
      </c>
      <c r="M72" s="15">
        <f t="shared" si="6"/>
        <v>15928.985025570473</v>
      </c>
      <c r="N72" s="15">
        <f t="shared" si="6"/>
        <v>15279.902942437375</v>
      </c>
      <c r="P72" s="15">
        <f>SUM(P68:P71)</f>
        <v>232848.10648014015</v>
      </c>
    </row>
    <row r="73" spans="1:16" ht="12" customHeight="1" x14ac:dyDescent="0.3"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P73" s="3"/>
    </row>
    <row r="74" spans="1:16" ht="15.5" x14ac:dyDescent="0.35">
      <c r="A74" s="4" t="s">
        <v>55</v>
      </c>
      <c r="C74" s="15">
        <f t="shared" ref="C74:N74" si="7">C72+C64+C61+C53+C46+C29+C23</f>
        <v>1436593.860000002</v>
      </c>
      <c r="D74" s="15">
        <f t="shared" si="7"/>
        <v>1483489.5220592583</v>
      </c>
      <c r="E74" s="15">
        <f t="shared" si="7"/>
        <v>1455371.4725712065</v>
      </c>
      <c r="F74" s="15">
        <f t="shared" si="7"/>
        <v>1482256.3863417557</v>
      </c>
      <c r="G74" s="15">
        <f t="shared" si="7"/>
        <v>1481634.2180547237</v>
      </c>
      <c r="H74" s="15">
        <f t="shared" si="7"/>
        <v>1453504.9422704778</v>
      </c>
      <c r="I74" s="15">
        <f t="shared" si="7"/>
        <v>1480378.5534245847</v>
      </c>
      <c r="J74" s="15">
        <f t="shared" si="7"/>
        <v>1424738.3258264586</v>
      </c>
      <c r="K74" s="15">
        <f t="shared" si="7"/>
        <v>1479107.6136580138</v>
      </c>
      <c r="L74" s="15">
        <f t="shared" si="7"/>
        <v>1148426.2709723166</v>
      </c>
      <c r="M74" s="15">
        <f t="shared" si="7"/>
        <v>1367807.8316922369</v>
      </c>
      <c r="N74" s="15">
        <f t="shared" si="7"/>
        <v>1477172.109609104</v>
      </c>
      <c r="P74" s="15">
        <f>P72+P64+P61+P53+P46+P29+P23</f>
        <v>17170481.106480144</v>
      </c>
    </row>
    <row r="75" spans="1:16" ht="13" x14ac:dyDescent="0.3"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P75" s="16"/>
    </row>
    <row r="76" spans="1:16" ht="15.5" x14ac:dyDescent="0.35">
      <c r="A76" s="4" t="s">
        <v>56</v>
      </c>
      <c r="C76" s="22">
        <f t="shared" ref="C76:N76" si="8">C18-C74</f>
        <v>-16905.530000001891</v>
      </c>
      <c r="D76" s="22">
        <f t="shared" si="8"/>
        <v>34108.347940741805</v>
      </c>
      <c r="E76" s="22">
        <f t="shared" si="8"/>
        <v>113123.77742879349</v>
      </c>
      <c r="F76" s="22">
        <f t="shared" si="8"/>
        <v>227089.0386582443</v>
      </c>
      <c r="G76" s="22">
        <f t="shared" si="8"/>
        <v>227711.20694527635</v>
      </c>
      <c r="H76" s="22">
        <f t="shared" si="8"/>
        <v>15138.157729522325</v>
      </c>
      <c r="I76" s="22">
        <f t="shared" si="8"/>
        <v>37219.316575415432</v>
      </c>
      <c r="J76" s="22">
        <f t="shared" si="8"/>
        <v>-5049.9958264585584</v>
      </c>
      <c r="K76" s="22">
        <f t="shared" si="8"/>
        <v>70905.778341986006</v>
      </c>
      <c r="L76" s="22">
        <f t="shared" si="8"/>
        <v>-218285.64097231661</v>
      </c>
      <c r="M76" s="22">
        <f t="shared" si="8"/>
        <v>-46029.041692236904</v>
      </c>
      <c r="N76" s="22">
        <f t="shared" si="8"/>
        <v>40425.760390896117</v>
      </c>
      <c r="P76" s="22">
        <f>P18-P74</f>
        <v>479451.17551985756</v>
      </c>
    </row>
  </sheetData>
  <pageMargins left="0.15763888888888888" right="0.15763888888888888" top="0.15763888888888888" bottom="0.15763888888888888" header="0.51180555555555562" footer="0.51180555555555562"/>
  <pageSetup paperSize="9" firstPageNumber="0" orientation="landscape" horizontalDpi="300" verticalDpi="300"/>
  <headerFooter alignWithMargins="0"/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zoomScaleSheetLayoutView="75" workbookViewId="0">
      <pane xSplit="2" ySplit="7" topLeftCell="L8" activePane="bottomRight" state="frozen"/>
      <selection pane="topRight" activeCell="L1" sqref="L1"/>
      <selection pane="bottomLeft" activeCell="A67" sqref="A67"/>
      <selection pane="bottomRight"/>
    </sheetView>
  </sheetViews>
  <sheetFormatPr defaultRowHeight="12.5" x14ac:dyDescent="0.25"/>
  <cols>
    <col min="1" max="1" width="2.453125" customWidth="1"/>
    <col min="2" max="2" width="28.81640625" customWidth="1"/>
    <col min="3" max="3" width="13.453125" customWidth="1"/>
    <col min="4" max="4" width="12.81640625" customWidth="1"/>
    <col min="5" max="5" width="13.26953125" customWidth="1"/>
    <col min="6" max="6" width="14" customWidth="1"/>
    <col min="7" max="7" width="13.26953125" customWidth="1"/>
    <col min="8" max="8" width="12.54296875" customWidth="1"/>
    <col min="9" max="9" width="14.26953125" customWidth="1"/>
    <col min="10" max="10" width="12.81640625" customWidth="1"/>
    <col min="11" max="11" width="13.7265625" customWidth="1"/>
    <col min="12" max="12" width="14" customWidth="1"/>
    <col min="13" max="13" width="13.54296875" customWidth="1"/>
    <col min="14" max="14" width="13.08984375" customWidth="1"/>
    <col min="15" max="15" width="3.7265625" customWidth="1"/>
    <col min="16" max="16" width="15.26953125" customWidth="1"/>
  </cols>
  <sheetData>
    <row r="1" spans="1:16" ht="15.5" x14ac:dyDescent="0.35">
      <c r="A1" s="4" t="s">
        <v>240</v>
      </c>
      <c r="B1" s="5"/>
    </row>
    <row r="2" spans="1:16" ht="15.5" x14ac:dyDescent="0.35">
      <c r="A2" s="4" t="s">
        <v>1</v>
      </c>
      <c r="B2" s="5"/>
    </row>
    <row r="3" spans="1:16" ht="15.5" x14ac:dyDescent="0.35">
      <c r="A3" s="4" t="s">
        <v>77</v>
      </c>
      <c r="B3" s="5"/>
    </row>
    <row r="5" spans="1:16" s="1" customFormat="1" ht="13" x14ac:dyDescent="0.3">
      <c r="C5" s="8" t="s">
        <v>64</v>
      </c>
      <c r="D5" s="8" t="s">
        <v>65</v>
      </c>
      <c r="E5" s="8" t="s">
        <v>66</v>
      </c>
      <c r="F5" s="8" t="s">
        <v>67</v>
      </c>
      <c r="G5" s="8" t="s">
        <v>68</v>
      </c>
      <c r="H5" s="8" t="s">
        <v>69</v>
      </c>
      <c r="I5" s="8" t="s">
        <v>70</v>
      </c>
      <c r="J5" s="8" t="s">
        <v>71</v>
      </c>
      <c r="K5" s="8" t="s">
        <v>72</v>
      </c>
      <c r="L5" s="8" t="s">
        <v>60</v>
      </c>
      <c r="M5" s="8" t="s">
        <v>61</v>
      </c>
      <c r="N5" s="8" t="s">
        <v>62</v>
      </c>
      <c r="P5" s="8" t="s">
        <v>3</v>
      </c>
    </row>
    <row r="6" spans="1:16" s="9" customFormat="1" ht="13" x14ac:dyDescent="0.3">
      <c r="C6" s="7">
        <v>2007</v>
      </c>
      <c r="D6" s="7">
        <v>2007</v>
      </c>
      <c r="E6" s="7">
        <v>2007</v>
      </c>
      <c r="F6" s="7">
        <v>2007</v>
      </c>
      <c r="G6" s="7">
        <v>2007</v>
      </c>
      <c r="H6" s="7">
        <v>2007</v>
      </c>
      <c r="I6" s="7">
        <v>2007</v>
      </c>
      <c r="J6" s="7">
        <v>2007</v>
      </c>
      <c r="K6" s="7">
        <v>2007</v>
      </c>
      <c r="L6" s="7">
        <v>2008</v>
      </c>
      <c r="M6" s="7">
        <v>2008</v>
      </c>
      <c r="N6" s="7">
        <v>2008</v>
      </c>
      <c r="P6" s="7">
        <v>2008</v>
      </c>
    </row>
    <row r="7" spans="1:16" s="9" customFormat="1" ht="15.5" x14ac:dyDescent="0.35">
      <c r="A7" s="4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6" ht="13" x14ac:dyDescent="0.3">
      <c r="B8" t="s">
        <v>8</v>
      </c>
      <c r="C8" s="13">
        <f>'P_L Workings'!R46</f>
        <v>1470851.7250000001</v>
      </c>
      <c r="D8" s="13">
        <f>'P_L Workings'!S46</f>
        <v>1572289.7750000001</v>
      </c>
      <c r="E8" s="13">
        <f>'P_L Workings'!T46</f>
        <v>1617994.5</v>
      </c>
      <c r="F8" s="13">
        <f>'P_L Workings'!U46</f>
        <v>1778208.05</v>
      </c>
      <c r="G8" s="13">
        <f>'P_L Workings'!V46</f>
        <v>1778208.05</v>
      </c>
      <c r="H8" s="13">
        <f>'P_L Workings'!W46</f>
        <v>1521570.75</v>
      </c>
      <c r="I8" s="13">
        <f>'P_L Workings'!X46</f>
        <v>1572289.7750000001</v>
      </c>
      <c r="J8" s="13">
        <f>'P_L Workings'!Y46</f>
        <v>1470851.7250000001</v>
      </c>
      <c r="K8" s="13">
        <f>'P_L Workings'!Z46</f>
        <v>1596645.7</v>
      </c>
      <c r="L8" s="13">
        <f>'P_L Workings'!AA46</f>
        <v>912942.45000000007</v>
      </c>
      <c r="M8" s="13">
        <f>'P_L Workings'!AB46</f>
        <v>1420132.7</v>
      </c>
      <c r="N8" s="13">
        <f>'P_L Workings'!AC46</f>
        <v>1572289.7750000001</v>
      </c>
      <c r="P8" s="2">
        <f t="shared" ref="P8:P17" si="0">SUM(C8:N8)</f>
        <v>18284274.974999998</v>
      </c>
    </row>
    <row r="9" spans="1:16" ht="13" x14ac:dyDescent="0.3">
      <c r="B9" t="s">
        <v>9</v>
      </c>
      <c r="C9" s="13">
        <f>'P_L Workings'!R69</f>
        <v>13670.744999999999</v>
      </c>
      <c r="D9" s="13">
        <f>'P_L Workings'!S69</f>
        <v>14613.554999999998</v>
      </c>
      <c r="E9" s="13">
        <f>'P_L Workings'!T69</f>
        <v>28284.3</v>
      </c>
      <c r="F9" s="13">
        <f>'P_L Workings'!U69</f>
        <v>29227.109999999997</v>
      </c>
      <c r="G9" s="13">
        <f>'P_L Workings'!V69</f>
        <v>29227.109999999997</v>
      </c>
      <c r="H9" s="13">
        <f>'P_L Workings'!W69</f>
        <v>14142.15</v>
      </c>
      <c r="I9" s="13">
        <f>'P_L Workings'!X69</f>
        <v>14613.554999999998</v>
      </c>
      <c r="J9" s="13">
        <f>'P_L Workings'!Y69</f>
        <v>13670.744999999999</v>
      </c>
      <c r="K9" s="13">
        <f>'P_L Workings'!Z69</f>
        <v>19484.739999999998</v>
      </c>
      <c r="L9" s="13">
        <f>'P_L Workings'!AA69</f>
        <v>8485.2899999999991</v>
      </c>
      <c r="M9" s="13">
        <f>'P_L Workings'!AB69</f>
        <v>13199.34</v>
      </c>
      <c r="N9" s="13">
        <f>'P_L Workings'!AC69</f>
        <v>14613.554999999998</v>
      </c>
      <c r="P9" s="2">
        <f t="shared" si="0"/>
        <v>213232.19499999998</v>
      </c>
    </row>
    <row r="10" spans="1:16" ht="13" hidden="1" x14ac:dyDescent="0.3">
      <c r="B10" t="s">
        <v>10</v>
      </c>
      <c r="P10" s="2">
        <f t="shared" si="0"/>
        <v>0</v>
      </c>
    </row>
    <row r="11" spans="1:16" ht="13" hidden="1" x14ac:dyDescent="0.3">
      <c r="B11" t="s">
        <v>11</v>
      </c>
      <c r="P11" s="2">
        <f t="shared" si="0"/>
        <v>0</v>
      </c>
    </row>
    <row r="12" spans="1:16" ht="13" hidden="1" x14ac:dyDescent="0.3">
      <c r="B12" t="s">
        <v>12</v>
      </c>
      <c r="P12" s="2">
        <f t="shared" si="0"/>
        <v>0</v>
      </c>
    </row>
    <row r="13" spans="1:16" ht="13" hidden="1" x14ac:dyDescent="0.3">
      <c r="B13" t="s">
        <v>13</v>
      </c>
      <c r="P13" s="2">
        <f t="shared" si="0"/>
        <v>0</v>
      </c>
    </row>
    <row r="14" spans="1:16" ht="13" hidden="1" x14ac:dyDescent="0.3">
      <c r="B14" t="s">
        <v>14</v>
      </c>
      <c r="P14" s="2">
        <f t="shared" si="0"/>
        <v>0</v>
      </c>
    </row>
    <row r="15" spans="1:16" ht="13" hidden="1" x14ac:dyDescent="0.3">
      <c r="B15" t="s">
        <v>15</v>
      </c>
      <c r="P15" s="2">
        <f t="shared" si="0"/>
        <v>0</v>
      </c>
    </row>
    <row r="16" spans="1:16" ht="13" hidden="1" x14ac:dyDescent="0.3">
      <c r="B16" t="s">
        <v>16</v>
      </c>
      <c r="P16" s="2">
        <f t="shared" si="0"/>
        <v>0</v>
      </c>
    </row>
    <row r="17" spans="1:16" ht="13" x14ac:dyDescent="0.3">
      <c r="B17" t="s">
        <v>17</v>
      </c>
      <c r="C17" s="24">
        <f>'P_L Workings'!R74</f>
        <v>20300</v>
      </c>
      <c r="D17" s="24">
        <f>'P_L Workings'!S74</f>
        <v>21700</v>
      </c>
      <c r="E17" s="24">
        <f>'P_L Workings'!T74</f>
        <v>21000</v>
      </c>
      <c r="F17" s="24">
        <f>'P_L Workings'!U74</f>
        <v>21700</v>
      </c>
      <c r="G17" s="24">
        <f>'P_L Workings'!V74</f>
        <v>21700</v>
      </c>
      <c r="H17" s="24">
        <f>'P_L Workings'!W74</f>
        <v>21000</v>
      </c>
      <c r="I17" s="24">
        <f>'P_L Workings'!X74</f>
        <v>21700</v>
      </c>
      <c r="J17" s="24">
        <f>'P_L Workings'!Y74</f>
        <v>20300</v>
      </c>
      <c r="K17" s="24">
        <f>'P_L Workings'!Z74</f>
        <v>21700</v>
      </c>
      <c r="L17" s="24">
        <f>'P_L Workings'!AA74</f>
        <v>12600</v>
      </c>
      <c r="M17" s="24">
        <f>'P_L Workings'!AB74</f>
        <v>19600</v>
      </c>
      <c r="N17" s="24">
        <f>'P_L Workings'!AC74</f>
        <v>21700</v>
      </c>
      <c r="P17" s="2">
        <f t="shared" si="0"/>
        <v>245000</v>
      </c>
    </row>
    <row r="18" spans="1:16" ht="14" x14ac:dyDescent="0.3">
      <c r="A18" s="14" t="s">
        <v>18</v>
      </c>
      <c r="C18" s="15">
        <f t="shared" ref="C18:N18" si="1">SUM(C8:C17)</f>
        <v>1504822.4700000002</v>
      </c>
      <c r="D18" s="15">
        <f t="shared" si="1"/>
        <v>1608603.33</v>
      </c>
      <c r="E18" s="15">
        <f t="shared" si="1"/>
        <v>1667278.8</v>
      </c>
      <c r="F18" s="15">
        <f t="shared" si="1"/>
        <v>1829135.1600000001</v>
      </c>
      <c r="G18" s="15">
        <f t="shared" si="1"/>
        <v>1829135.1600000001</v>
      </c>
      <c r="H18" s="15">
        <f t="shared" si="1"/>
        <v>1556712.9</v>
      </c>
      <c r="I18" s="15">
        <f t="shared" si="1"/>
        <v>1608603.33</v>
      </c>
      <c r="J18" s="15">
        <f t="shared" si="1"/>
        <v>1504822.4700000002</v>
      </c>
      <c r="K18" s="15">
        <f t="shared" si="1"/>
        <v>1637830.44</v>
      </c>
      <c r="L18" s="15">
        <f t="shared" si="1"/>
        <v>934027.74000000011</v>
      </c>
      <c r="M18" s="15">
        <f t="shared" si="1"/>
        <v>1452932.04</v>
      </c>
      <c r="N18" s="15">
        <f t="shared" si="1"/>
        <v>1608603.33</v>
      </c>
      <c r="P18" s="15">
        <f>SUM(P8:P17)</f>
        <v>18742507.169999998</v>
      </c>
    </row>
    <row r="19" spans="1:16" ht="13" x14ac:dyDescent="0.3">
      <c r="P19" s="3"/>
    </row>
    <row r="20" spans="1:16" ht="15.5" x14ac:dyDescent="0.35">
      <c r="A20" s="4" t="s">
        <v>19</v>
      </c>
      <c r="P20" s="3"/>
    </row>
    <row r="21" spans="1:16" ht="6" customHeight="1" x14ac:dyDescent="0.35">
      <c r="A21" s="4"/>
      <c r="P21" s="3"/>
    </row>
    <row r="22" spans="1:16" ht="15.5" x14ac:dyDescent="0.35">
      <c r="A22" s="17" t="s">
        <v>20</v>
      </c>
      <c r="P22" s="3"/>
    </row>
    <row r="23" spans="1:16" ht="13" x14ac:dyDescent="0.3">
      <c r="B23" t="s">
        <v>21</v>
      </c>
      <c r="C23" s="18">
        <f>'P_L Workings'!R81</f>
        <v>0</v>
      </c>
      <c r="D23" s="18">
        <f>'P_L Workings'!S81</f>
        <v>0</v>
      </c>
      <c r="E23" s="18">
        <f>'P_L Workings'!T81</f>
        <v>0</v>
      </c>
      <c r="F23" s="18">
        <f>'P_L Workings'!U81</f>
        <v>0</v>
      </c>
      <c r="G23" s="18">
        <f>'P_L Workings'!V81</f>
        <v>0</v>
      </c>
      <c r="H23" s="18">
        <f>'P_L Workings'!W81</f>
        <v>0</v>
      </c>
      <c r="I23" s="18">
        <f>'P_L Workings'!X81</f>
        <v>0</v>
      </c>
      <c r="J23" s="18">
        <f>'P_L Workings'!Y81</f>
        <v>0</v>
      </c>
      <c r="K23" s="18">
        <f>'P_L Workings'!Z81</f>
        <v>0</v>
      </c>
      <c r="L23" s="18">
        <f>'P_L Workings'!AA81</f>
        <v>0</v>
      </c>
      <c r="M23" s="18">
        <f>'P_L Workings'!AB81</f>
        <v>0</v>
      </c>
      <c r="N23" s="18">
        <f>'P_L Workings'!AC81</f>
        <v>0</v>
      </c>
      <c r="P23" s="18">
        <f>SUM(C23:N23)</f>
        <v>0</v>
      </c>
    </row>
    <row r="24" spans="1:16" ht="13" hidden="1" x14ac:dyDescent="0.3">
      <c r="B24" t="s">
        <v>16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P24" s="3"/>
    </row>
    <row r="25" spans="1:16" ht="13" hidden="1" x14ac:dyDescent="0.3">
      <c r="B25" t="s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P25" s="3"/>
    </row>
    <row r="26" spans="1:16" ht="14" hidden="1" x14ac:dyDescent="0.3">
      <c r="B26" s="19" t="s">
        <v>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P26" s="3"/>
    </row>
    <row r="27" spans="1:16" ht="6" customHeight="1" x14ac:dyDescent="0.3"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P27" s="3"/>
    </row>
    <row r="28" spans="1:16" ht="15.5" x14ac:dyDescent="0.35">
      <c r="A28" s="17" t="s">
        <v>23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P28" s="3"/>
    </row>
    <row r="29" spans="1:16" ht="13" x14ac:dyDescent="0.3">
      <c r="B29" t="s">
        <v>9</v>
      </c>
      <c r="C29" s="18">
        <f>'P_L Workings'!R90</f>
        <v>20714.285714285717</v>
      </c>
      <c r="D29" s="18">
        <f>'P_L Workings'!S90</f>
        <v>22142.857142857145</v>
      </c>
      <c r="E29" s="18">
        <f>'P_L Workings'!T90</f>
        <v>21428.571428571431</v>
      </c>
      <c r="F29" s="18">
        <f>'P_L Workings'!U90</f>
        <v>22142.857142857145</v>
      </c>
      <c r="G29" s="18">
        <f>'P_L Workings'!V90</f>
        <v>22142.857142857145</v>
      </c>
      <c r="H29" s="18">
        <f>'P_L Workings'!W90</f>
        <v>21428.571428571431</v>
      </c>
      <c r="I29" s="18">
        <f>'P_L Workings'!X90</f>
        <v>22142.857142857145</v>
      </c>
      <c r="J29" s="18">
        <f>'P_L Workings'!Y90</f>
        <v>20714.285714285717</v>
      </c>
      <c r="K29" s="18">
        <f>'P_L Workings'!Z90</f>
        <v>22142.857142857145</v>
      </c>
      <c r="L29" s="18">
        <f>'P_L Workings'!AA90</f>
        <v>12857.142857142859</v>
      </c>
      <c r="M29" s="18">
        <f>'P_L Workings'!AB90</f>
        <v>20000</v>
      </c>
      <c r="N29" s="18">
        <f>'P_L Workings'!AC90</f>
        <v>22142.857142857145</v>
      </c>
      <c r="P29" s="18">
        <f>SUM(C29:N29)</f>
        <v>250000</v>
      </c>
    </row>
    <row r="30" spans="1:16" ht="14" hidden="1" x14ac:dyDescent="0.3">
      <c r="B30" s="19" t="s">
        <v>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P30" s="3"/>
    </row>
    <row r="31" spans="1:16" ht="6" customHeight="1" x14ac:dyDescent="0.3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P31" s="3"/>
    </row>
    <row r="32" spans="1:16" ht="15.5" x14ac:dyDescent="0.35">
      <c r="A32" s="17" t="s">
        <v>24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P32" s="3"/>
    </row>
    <row r="33" spans="1:16" ht="13" x14ac:dyDescent="0.3">
      <c r="B33" t="s">
        <v>25</v>
      </c>
      <c r="C33" s="13">
        <f>'P_L Workings'!R94</f>
        <v>477976.16666666669</v>
      </c>
      <c r="D33" s="13">
        <f>'P_L Workings'!S94</f>
        <v>477976.16666666669</v>
      </c>
      <c r="E33" s="13">
        <f>'P_L Workings'!T94</f>
        <v>477976.16666666669</v>
      </c>
      <c r="F33" s="13">
        <f>'P_L Workings'!U94</f>
        <v>477976.16666666669</v>
      </c>
      <c r="G33" s="13">
        <f>'P_L Workings'!V94</f>
        <v>477976.16666666669</v>
      </c>
      <c r="H33" s="13">
        <f>'P_L Workings'!W94</f>
        <v>477976.16666666669</v>
      </c>
      <c r="I33" s="13">
        <f>'P_L Workings'!X94</f>
        <v>477976.16666666669</v>
      </c>
      <c r="J33" s="13">
        <f>'P_L Workings'!Y94</f>
        <v>477976.16666666669</v>
      </c>
      <c r="K33" s="13">
        <f>'P_L Workings'!Z94</f>
        <v>477976.16666666669</v>
      </c>
      <c r="L33" s="13">
        <f>'P_L Workings'!AA94</f>
        <v>477976.16666666669</v>
      </c>
      <c r="M33" s="13">
        <f>'P_L Workings'!AB94</f>
        <v>477976.16666666669</v>
      </c>
      <c r="N33" s="13">
        <f>'P_L Workings'!AC94</f>
        <v>477976.16666666669</v>
      </c>
      <c r="P33" s="2">
        <f t="shared" ref="P33:P45" si="2">SUM(C33:N33)</f>
        <v>5735714.0000000009</v>
      </c>
    </row>
    <row r="34" spans="1:16" ht="13" x14ac:dyDescent="0.3">
      <c r="B34" t="s">
        <v>26</v>
      </c>
      <c r="C34" s="13">
        <f>'P_L Workings'!R95</f>
        <v>20833.333333333332</v>
      </c>
      <c r="D34" s="13">
        <f>'P_L Workings'!S95</f>
        <v>20833.333333333332</v>
      </c>
      <c r="E34" s="13">
        <f>'P_L Workings'!T95</f>
        <v>20833.333333333332</v>
      </c>
      <c r="F34" s="13">
        <f>'P_L Workings'!U95</f>
        <v>20833.333333333332</v>
      </c>
      <c r="G34" s="13">
        <f>'P_L Workings'!V95</f>
        <v>20833.333333333332</v>
      </c>
      <c r="H34" s="13">
        <f>'P_L Workings'!W95</f>
        <v>20833.333333333332</v>
      </c>
      <c r="I34" s="13">
        <f>'P_L Workings'!X95</f>
        <v>20833.333333333332</v>
      </c>
      <c r="J34" s="13">
        <f>'P_L Workings'!Y95</f>
        <v>20833.333333333332</v>
      </c>
      <c r="K34" s="13">
        <f>'P_L Workings'!Z95</f>
        <v>20833.333333333332</v>
      </c>
      <c r="L34" s="13">
        <f>'P_L Workings'!AA95</f>
        <v>20833.333333333332</v>
      </c>
      <c r="M34" s="13">
        <f>'P_L Workings'!AB95</f>
        <v>20833.333333333332</v>
      </c>
      <c r="N34" s="13">
        <f>'P_L Workings'!AC95</f>
        <v>20833.333333333332</v>
      </c>
      <c r="P34" s="2">
        <f t="shared" si="2"/>
        <v>250000.00000000003</v>
      </c>
    </row>
    <row r="35" spans="1:16" ht="13" x14ac:dyDescent="0.3">
      <c r="B35" t="s">
        <v>27</v>
      </c>
      <c r="C35" s="13">
        <f>'P_L Workings'!R102</f>
        <v>255296.86000000002</v>
      </c>
      <c r="D35" s="13">
        <f>'P_L Workings'!S102</f>
        <v>272903.53999999998</v>
      </c>
      <c r="E35" s="13">
        <f>'P_L Workings'!T102</f>
        <v>264100.2</v>
      </c>
      <c r="F35" s="13">
        <f>'P_L Workings'!U102</f>
        <v>272903.53999999998</v>
      </c>
      <c r="G35" s="13">
        <f>'P_L Workings'!V102</f>
        <v>272903.53999999998</v>
      </c>
      <c r="H35" s="13">
        <f>'P_L Workings'!W102</f>
        <v>264100.2</v>
      </c>
      <c r="I35" s="13">
        <f>'P_L Workings'!X102</f>
        <v>272903.53999999998</v>
      </c>
      <c r="J35" s="13">
        <f>'P_L Workings'!Y102</f>
        <v>255296.86000000002</v>
      </c>
      <c r="K35" s="13">
        <f>'P_L Workings'!Z102</f>
        <v>272903.53999999998</v>
      </c>
      <c r="L35" s="13">
        <f>'P_L Workings'!AA102</f>
        <v>158460.12</v>
      </c>
      <c r="M35" s="13">
        <f>'P_L Workings'!AB102</f>
        <v>246493.52000000002</v>
      </c>
      <c r="N35" s="13">
        <f>'P_L Workings'!AC102</f>
        <v>272903.53999999998</v>
      </c>
      <c r="P35" s="2">
        <f t="shared" si="2"/>
        <v>3081169.0000000005</v>
      </c>
    </row>
    <row r="36" spans="1:16" ht="13" x14ac:dyDescent="0.3">
      <c r="B36" t="s">
        <v>28</v>
      </c>
      <c r="C36" s="13">
        <f>'P_L Workings'!R104</f>
        <v>14583.333333333334</v>
      </c>
      <c r="D36" s="13">
        <f>'P_L Workings'!S104</f>
        <v>14583.333333333334</v>
      </c>
      <c r="E36" s="13">
        <f>'P_L Workings'!T104</f>
        <v>14583.333333333334</v>
      </c>
      <c r="F36" s="13">
        <f>'P_L Workings'!U104</f>
        <v>14583.333333333334</v>
      </c>
      <c r="G36" s="13">
        <f>'P_L Workings'!V104</f>
        <v>14583.333333333334</v>
      </c>
      <c r="H36" s="13">
        <f>'P_L Workings'!W104</f>
        <v>14583.333333333334</v>
      </c>
      <c r="I36" s="13">
        <f>'P_L Workings'!X104</f>
        <v>14583.333333333334</v>
      </c>
      <c r="J36" s="13">
        <f>'P_L Workings'!Y104</f>
        <v>14583.333333333334</v>
      </c>
      <c r="K36" s="13">
        <f>'P_L Workings'!Z104</f>
        <v>14583.333333333334</v>
      </c>
      <c r="L36" s="13">
        <f>'P_L Workings'!AA104</f>
        <v>14583.333333333334</v>
      </c>
      <c r="M36" s="13">
        <f>'P_L Workings'!AB104</f>
        <v>14583.333333333334</v>
      </c>
      <c r="N36" s="13">
        <f>'P_L Workings'!AC104</f>
        <v>14583.333333333334</v>
      </c>
      <c r="P36" s="2">
        <f t="shared" si="2"/>
        <v>175000.00000000003</v>
      </c>
    </row>
    <row r="37" spans="1:16" ht="13" x14ac:dyDescent="0.3">
      <c r="B37" t="s">
        <v>29</v>
      </c>
      <c r="C37" s="13">
        <f>'P_L Workings'!R108</f>
        <v>3728.5714285714289</v>
      </c>
      <c r="D37" s="13">
        <f>'P_L Workings'!S108</f>
        <v>3985.7142857142862</v>
      </c>
      <c r="E37" s="13">
        <f>'P_L Workings'!T108</f>
        <v>3857.1428571428573</v>
      </c>
      <c r="F37" s="13">
        <f>'P_L Workings'!U108</f>
        <v>3985.7142857142862</v>
      </c>
      <c r="G37" s="13">
        <f>'P_L Workings'!V108</f>
        <v>3985.7142857142862</v>
      </c>
      <c r="H37" s="13">
        <f>'P_L Workings'!W108</f>
        <v>3857.1428571428573</v>
      </c>
      <c r="I37" s="13">
        <f>'P_L Workings'!X108</f>
        <v>3985.7142857142862</v>
      </c>
      <c r="J37" s="13">
        <f>'P_L Workings'!Y108</f>
        <v>3728.5714285714289</v>
      </c>
      <c r="K37" s="13">
        <f>'P_L Workings'!Z108</f>
        <v>3985.7142857142862</v>
      </c>
      <c r="L37" s="13">
        <f>'P_L Workings'!AA108</f>
        <v>2314.2857142857147</v>
      </c>
      <c r="M37" s="13">
        <f>'P_L Workings'!AB108</f>
        <v>3600.0000000000005</v>
      </c>
      <c r="N37" s="13">
        <f>'P_L Workings'!AC108</f>
        <v>3985.7142857142862</v>
      </c>
      <c r="P37" s="2">
        <f t="shared" si="2"/>
        <v>45000</v>
      </c>
    </row>
    <row r="38" spans="1:16" ht="13" x14ac:dyDescent="0.3">
      <c r="B38" t="s">
        <v>30</v>
      </c>
      <c r="C38" s="13">
        <f>'P_L Workings'!R113</f>
        <v>29828.571428571431</v>
      </c>
      <c r="D38" s="13">
        <f>'P_L Workings'!S113</f>
        <v>31885.71428571429</v>
      </c>
      <c r="E38" s="13">
        <f>'P_L Workings'!T113</f>
        <v>30857.142857142859</v>
      </c>
      <c r="F38" s="13">
        <f>'P_L Workings'!U113</f>
        <v>31885.71428571429</v>
      </c>
      <c r="G38" s="13">
        <f>'P_L Workings'!V113</f>
        <v>31885.71428571429</v>
      </c>
      <c r="H38" s="13">
        <f>'P_L Workings'!W113</f>
        <v>30857.142857142859</v>
      </c>
      <c r="I38" s="13">
        <f>'P_L Workings'!X113</f>
        <v>31885.71428571429</v>
      </c>
      <c r="J38" s="13">
        <f>'P_L Workings'!Y113</f>
        <v>29828.571428571431</v>
      </c>
      <c r="K38" s="13">
        <f>'P_L Workings'!Z113</f>
        <v>31885.71428571429</v>
      </c>
      <c r="L38" s="13">
        <f>'P_L Workings'!AA113</f>
        <v>18514.285714285717</v>
      </c>
      <c r="M38" s="13">
        <f>'P_L Workings'!AB113</f>
        <v>28800.000000000004</v>
      </c>
      <c r="N38" s="13">
        <f>'P_L Workings'!AC113</f>
        <v>31885.71428571429</v>
      </c>
      <c r="P38" s="2">
        <f t="shared" si="2"/>
        <v>360000</v>
      </c>
    </row>
    <row r="39" spans="1:16" ht="13" x14ac:dyDescent="0.3">
      <c r="B39" t="s">
        <v>31</v>
      </c>
      <c r="C39" s="13">
        <f>'P_L Workings'!R118</f>
        <v>111857.14285714287</v>
      </c>
      <c r="D39" s="13">
        <f>'P_L Workings'!S118</f>
        <v>119571.42857142858</v>
      </c>
      <c r="E39" s="13">
        <f>'P_L Workings'!T118</f>
        <v>115714.28571428572</v>
      </c>
      <c r="F39" s="13">
        <f>'P_L Workings'!U118</f>
        <v>119571.42857142858</v>
      </c>
      <c r="G39" s="13">
        <f>'P_L Workings'!V118</f>
        <v>119571.42857142858</v>
      </c>
      <c r="H39" s="13">
        <f>'P_L Workings'!W118</f>
        <v>115714.28571428572</v>
      </c>
      <c r="I39" s="13">
        <f>'P_L Workings'!X118</f>
        <v>119571.42857142858</v>
      </c>
      <c r="J39" s="13">
        <f>'P_L Workings'!Y118</f>
        <v>111857.14285714287</v>
      </c>
      <c r="K39" s="13">
        <f>'P_L Workings'!Z118</f>
        <v>119571.42857142858</v>
      </c>
      <c r="L39" s="13">
        <f>'P_L Workings'!AA118</f>
        <v>69428.571428571435</v>
      </c>
      <c r="M39" s="13">
        <f>'P_L Workings'!AB118</f>
        <v>108000</v>
      </c>
      <c r="N39" s="13">
        <f>'P_L Workings'!AC118</f>
        <v>119571.42857142858</v>
      </c>
      <c r="P39" s="2">
        <f t="shared" si="2"/>
        <v>1350000</v>
      </c>
    </row>
    <row r="40" spans="1:16" ht="13" x14ac:dyDescent="0.3">
      <c r="B40" t="s">
        <v>32</v>
      </c>
      <c r="C40" s="13">
        <f>'P_L Workings'!R120</f>
        <v>5000</v>
      </c>
      <c r="D40" s="13">
        <f>'P_L Workings'!S120</f>
        <v>5000</v>
      </c>
      <c r="E40" s="13">
        <f>'P_L Workings'!T120</f>
        <v>5000</v>
      </c>
      <c r="F40" s="13">
        <f>'P_L Workings'!U120</f>
        <v>5000</v>
      </c>
      <c r="G40" s="13">
        <f>'P_L Workings'!V120</f>
        <v>5000</v>
      </c>
      <c r="H40" s="13">
        <f>'P_L Workings'!W120</f>
        <v>5000</v>
      </c>
      <c r="I40" s="13">
        <f>'P_L Workings'!X120</f>
        <v>5000</v>
      </c>
      <c r="J40" s="13">
        <f>'P_L Workings'!Y120</f>
        <v>5000</v>
      </c>
      <c r="K40" s="13">
        <f>'P_L Workings'!Z120</f>
        <v>5000</v>
      </c>
      <c r="L40" s="13">
        <f>'P_L Workings'!AA120</f>
        <v>5000</v>
      </c>
      <c r="M40" s="13">
        <f>'P_L Workings'!AB120</f>
        <v>5000</v>
      </c>
      <c r="N40" s="13">
        <f>'P_L Workings'!AC120</f>
        <v>5000</v>
      </c>
      <c r="P40" s="2">
        <f t="shared" si="2"/>
        <v>60000</v>
      </c>
    </row>
    <row r="41" spans="1:16" ht="13" x14ac:dyDescent="0.3">
      <c r="B41" t="s">
        <v>33</v>
      </c>
      <c r="C41" s="13">
        <f>'P_L Workings'!R121</f>
        <v>8000</v>
      </c>
      <c r="D41" s="13">
        <f>'P_L Workings'!S121</f>
        <v>8000</v>
      </c>
      <c r="E41" s="13">
        <f>'P_L Workings'!T121</f>
        <v>8000</v>
      </c>
      <c r="F41" s="13">
        <f>'P_L Workings'!U121</f>
        <v>8000</v>
      </c>
      <c r="G41" s="13">
        <f>'P_L Workings'!V121</f>
        <v>8000</v>
      </c>
      <c r="H41" s="13">
        <f>'P_L Workings'!W121</f>
        <v>8000</v>
      </c>
      <c r="I41" s="13">
        <f>'P_L Workings'!X121</f>
        <v>8000</v>
      </c>
      <c r="J41" s="13">
        <f>'P_L Workings'!Y121</f>
        <v>8000</v>
      </c>
      <c r="K41" s="13">
        <f>'P_L Workings'!Z121</f>
        <v>8000</v>
      </c>
      <c r="L41" s="13">
        <f>'P_L Workings'!AA121</f>
        <v>8000</v>
      </c>
      <c r="M41" s="13">
        <f>'P_L Workings'!AB121</f>
        <v>8000</v>
      </c>
      <c r="N41" s="13">
        <f>'P_L Workings'!AC121</f>
        <v>8000</v>
      </c>
      <c r="P41" s="2">
        <f t="shared" si="2"/>
        <v>96000</v>
      </c>
    </row>
    <row r="42" spans="1:16" ht="13" x14ac:dyDescent="0.3">
      <c r="B42" t="s">
        <v>34</v>
      </c>
      <c r="C42" s="13">
        <f>'P_L Workings'!R125</f>
        <v>53857.142857142855</v>
      </c>
      <c r="D42" s="13">
        <f>'P_L Workings'!S125</f>
        <v>57571.428571428572</v>
      </c>
      <c r="E42" s="13">
        <f>'P_L Workings'!T125</f>
        <v>55714.28571428571</v>
      </c>
      <c r="F42" s="13">
        <f>'P_L Workings'!U125</f>
        <v>57571.428571428572</v>
      </c>
      <c r="G42" s="13">
        <f>'P_L Workings'!V125</f>
        <v>57571.428571428572</v>
      </c>
      <c r="H42" s="13">
        <f>'P_L Workings'!W125</f>
        <v>55714.28571428571</v>
      </c>
      <c r="I42" s="13">
        <f>'P_L Workings'!X125</f>
        <v>57571.428571428572</v>
      </c>
      <c r="J42" s="13">
        <f>'P_L Workings'!Y125</f>
        <v>53857.142857142855</v>
      </c>
      <c r="K42" s="13">
        <f>'P_L Workings'!Z125</f>
        <v>57571.428571428572</v>
      </c>
      <c r="L42" s="13">
        <f>'P_L Workings'!AA125</f>
        <v>33428.571428571428</v>
      </c>
      <c r="M42" s="13">
        <f>'P_L Workings'!AB125</f>
        <v>52000</v>
      </c>
      <c r="N42" s="13">
        <f>'P_L Workings'!AC125</f>
        <v>57571.428571428572</v>
      </c>
      <c r="P42" s="2">
        <f t="shared" si="2"/>
        <v>650000</v>
      </c>
    </row>
    <row r="43" spans="1:16" ht="13" x14ac:dyDescent="0.3">
      <c r="B43" t="s">
        <v>35</v>
      </c>
      <c r="C43" s="13">
        <f>'P_L Workings'!R130</f>
        <v>198857.14285714284</v>
      </c>
      <c r="D43" s="13">
        <f>'P_L Workings'!S130</f>
        <v>212571.42857142855</v>
      </c>
      <c r="E43" s="13">
        <f>'P_L Workings'!T130</f>
        <v>205714.28571428571</v>
      </c>
      <c r="F43" s="13">
        <f>'P_L Workings'!U130</f>
        <v>212571.42857142855</v>
      </c>
      <c r="G43" s="13">
        <f>'P_L Workings'!V130</f>
        <v>212571.42857142855</v>
      </c>
      <c r="H43" s="13">
        <f>'P_L Workings'!W130</f>
        <v>205714.28571428571</v>
      </c>
      <c r="I43" s="13">
        <f>'P_L Workings'!X130</f>
        <v>212571.42857142855</v>
      </c>
      <c r="J43" s="13">
        <f>'P_L Workings'!Y130</f>
        <v>198857.14285714284</v>
      </c>
      <c r="K43" s="13">
        <f>'P_L Workings'!Z130</f>
        <v>212571.42857142855</v>
      </c>
      <c r="L43" s="13">
        <f>'P_L Workings'!AA130</f>
        <v>123428.57142857142</v>
      </c>
      <c r="M43" s="13">
        <f>'P_L Workings'!AB130</f>
        <v>192000</v>
      </c>
      <c r="N43" s="13">
        <f>'P_L Workings'!AC130</f>
        <v>212571.42857142855</v>
      </c>
      <c r="P43" s="2">
        <f t="shared" si="2"/>
        <v>2400000</v>
      </c>
    </row>
    <row r="44" spans="1:16" ht="13" x14ac:dyDescent="0.3">
      <c r="B44" t="s">
        <v>36</v>
      </c>
      <c r="C44" s="13">
        <f>'P_L Workings'!R135</f>
        <v>32314.285714285714</v>
      </c>
      <c r="D44" s="13">
        <f>'P_L Workings'!S135</f>
        <v>34542.857142857138</v>
      </c>
      <c r="E44" s="13">
        <f>'P_L Workings'!T135</f>
        <v>33428.571428571428</v>
      </c>
      <c r="F44" s="13">
        <f>'P_L Workings'!U135</f>
        <v>34542.857142857138</v>
      </c>
      <c r="G44" s="13">
        <f>'P_L Workings'!V135</f>
        <v>34542.857142857138</v>
      </c>
      <c r="H44" s="13">
        <f>'P_L Workings'!W135</f>
        <v>33428.571428571428</v>
      </c>
      <c r="I44" s="13">
        <f>'P_L Workings'!X135</f>
        <v>34542.857142857138</v>
      </c>
      <c r="J44" s="13">
        <f>'P_L Workings'!Y135</f>
        <v>32314.285714285714</v>
      </c>
      <c r="K44" s="13">
        <f>'P_L Workings'!Z135</f>
        <v>34542.857142857138</v>
      </c>
      <c r="L44" s="13">
        <f>'P_L Workings'!AA135</f>
        <v>20057.142857142855</v>
      </c>
      <c r="M44" s="13">
        <f>'P_L Workings'!AB135</f>
        <v>31200</v>
      </c>
      <c r="N44" s="13">
        <f>'P_L Workings'!AC135</f>
        <v>34542.857142857138</v>
      </c>
      <c r="P44" s="2">
        <f t="shared" si="2"/>
        <v>390000</v>
      </c>
    </row>
    <row r="45" spans="1:16" ht="13" x14ac:dyDescent="0.3">
      <c r="B45" t="s">
        <v>37</v>
      </c>
      <c r="C45" s="13">
        <f>'P_L Workings'!R140</f>
        <v>24857.142857142855</v>
      </c>
      <c r="D45" s="13">
        <f>'P_L Workings'!S140</f>
        <v>26571.428571428569</v>
      </c>
      <c r="E45" s="13">
        <f>'P_L Workings'!T140</f>
        <v>25714.285714285714</v>
      </c>
      <c r="F45" s="13">
        <f>'P_L Workings'!U140</f>
        <v>26571.428571428569</v>
      </c>
      <c r="G45" s="13">
        <f>'P_L Workings'!V140</f>
        <v>26571.428571428569</v>
      </c>
      <c r="H45" s="13">
        <f>'P_L Workings'!W140</f>
        <v>25714.285714285714</v>
      </c>
      <c r="I45" s="13">
        <f>'P_L Workings'!X140</f>
        <v>26571.428571428569</v>
      </c>
      <c r="J45" s="13">
        <f>'P_L Workings'!Y140</f>
        <v>24857.142857142855</v>
      </c>
      <c r="K45" s="13">
        <f>'P_L Workings'!Z140</f>
        <v>26571.428571428569</v>
      </c>
      <c r="L45" s="13">
        <f>'P_L Workings'!AA140</f>
        <v>15428.571428571428</v>
      </c>
      <c r="M45" s="13">
        <f>'P_L Workings'!AB140</f>
        <v>24000</v>
      </c>
      <c r="N45" s="13">
        <f>'P_L Workings'!AC140</f>
        <v>26571.428571428569</v>
      </c>
      <c r="P45" s="2">
        <f t="shared" si="2"/>
        <v>300000</v>
      </c>
    </row>
    <row r="46" spans="1:16" ht="14" x14ac:dyDescent="0.3">
      <c r="B46" s="19" t="s">
        <v>3</v>
      </c>
      <c r="C46" s="15">
        <f t="shared" ref="C46:N46" si="3">SUM(C33:C45)</f>
        <v>1236989.6933333334</v>
      </c>
      <c r="D46" s="15">
        <f t="shared" si="3"/>
        <v>1285996.3733333333</v>
      </c>
      <c r="E46" s="15">
        <f t="shared" si="3"/>
        <v>1261493.0333333332</v>
      </c>
      <c r="F46" s="15">
        <f t="shared" si="3"/>
        <v>1285996.3733333333</v>
      </c>
      <c r="G46" s="15">
        <f t="shared" si="3"/>
        <v>1285996.3733333333</v>
      </c>
      <c r="H46" s="15">
        <f t="shared" si="3"/>
        <v>1261493.0333333332</v>
      </c>
      <c r="I46" s="15">
        <f t="shared" si="3"/>
        <v>1285996.3733333333</v>
      </c>
      <c r="J46" s="15">
        <f t="shared" si="3"/>
        <v>1236989.6933333334</v>
      </c>
      <c r="K46" s="15">
        <f t="shared" si="3"/>
        <v>1285996.3733333333</v>
      </c>
      <c r="L46" s="15">
        <f t="shared" si="3"/>
        <v>967452.95333333337</v>
      </c>
      <c r="M46" s="15">
        <f t="shared" si="3"/>
        <v>1212486.3533333335</v>
      </c>
      <c r="N46" s="15">
        <f t="shared" si="3"/>
        <v>1285996.3733333333</v>
      </c>
      <c r="P46" s="15">
        <f>SUM(P33:P45)</f>
        <v>14892883.000000002</v>
      </c>
    </row>
    <row r="47" spans="1:16" ht="6" customHeight="1" x14ac:dyDescent="0.3"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P47" s="3"/>
    </row>
    <row r="48" spans="1:16" ht="15.5" x14ac:dyDescent="0.35">
      <c r="A48" s="17" t="s">
        <v>38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P48" s="3"/>
    </row>
    <row r="49" spans="1:16" ht="13" x14ac:dyDescent="0.3">
      <c r="B49" t="s">
        <v>39</v>
      </c>
      <c r="C49" s="13">
        <f>'P_L Workings'!R145</f>
        <v>10000</v>
      </c>
      <c r="D49" s="13">
        <f>'P_L Workings'!S145</f>
        <v>10000</v>
      </c>
      <c r="E49" s="13">
        <f>'P_L Workings'!T145</f>
        <v>10000</v>
      </c>
      <c r="F49" s="13">
        <f>'P_L Workings'!U145</f>
        <v>10000</v>
      </c>
      <c r="G49" s="13">
        <f>'P_L Workings'!V145</f>
        <v>10000</v>
      </c>
      <c r="H49" s="13">
        <f>'P_L Workings'!W145</f>
        <v>10000</v>
      </c>
      <c r="I49" s="13">
        <f>'P_L Workings'!X145</f>
        <v>10000</v>
      </c>
      <c r="J49" s="13">
        <f>'P_L Workings'!Y145</f>
        <v>10000</v>
      </c>
      <c r="K49" s="13">
        <f>'P_L Workings'!Z145</f>
        <v>10000</v>
      </c>
      <c r="L49" s="13">
        <f>'P_L Workings'!AA145</f>
        <v>10000</v>
      </c>
      <c r="M49" s="13">
        <f>'P_L Workings'!AB145</f>
        <v>10000</v>
      </c>
      <c r="N49" s="13">
        <f>'P_L Workings'!AC145</f>
        <v>10000</v>
      </c>
      <c r="P49" s="2">
        <f>SUM(C49:N49)</f>
        <v>120000</v>
      </c>
    </row>
    <row r="50" spans="1:16" ht="13" x14ac:dyDescent="0.3">
      <c r="B50" t="s">
        <v>40</v>
      </c>
      <c r="C50" s="13">
        <f>'P_L Workings'!R146</f>
        <v>6250</v>
      </c>
      <c r="D50" s="13">
        <f>'P_L Workings'!S146</f>
        <v>6250</v>
      </c>
      <c r="E50" s="13">
        <f>'P_L Workings'!T146</f>
        <v>6250</v>
      </c>
      <c r="F50" s="13">
        <f>'P_L Workings'!U146</f>
        <v>6250</v>
      </c>
      <c r="G50" s="13">
        <f>'P_L Workings'!V146</f>
        <v>6250</v>
      </c>
      <c r="H50" s="13">
        <f>'P_L Workings'!W146</f>
        <v>6250</v>
      </c>
      <c r="I50" s="13">
        <f>'P_L Workings'!X146</f>
        <v>6250</v>
      </c>
      <c r="J50" s="13">
        <f>'P_L Workings'!Y146</f>
        <v>6250</v>
      </c>
      <c r="K50" s="13">
        <f>'P_L Workings'!Z146</f>
        <v>6250</v>
      </c>
      <c r="L50" s="13">
        <f>'P_L Workings'!AA146</f>
        <v>6250</v>
      </c>
      <c r="M50" s="13">
        <f>'P_L Workings'!AB146</f>
        <v>6250</v>
      </c>
      <c r="N50" s="13">
        <f>'P_L Workings'!AC146</f>
        <v>6250</v>
      </c>
      <c r="P50" s="2">
        <f>SUM(C50:N50)</f>
        <v>75000</v>
      </c>
    </row>
    <row r="51" spans="1:16" ht="13" x14ac:dyDescent="0.3">
      <c r="B51" t="s">
        <v>41</v>
      </c>
      <c r="C51" s="13">
        <f>'P_L Workings'!R147</f>
        <v>4166.666666666667</v>
      </c>
      <c r="D51" s="13">
        <f>'P_L Workings'!S147</f>
        <v>4166.666666666667</v>
      </c>
      <c r="E51" s="13">
        <f>'P_L Workings'!T147</f>
        <v>4166.666666666667</v>
      </c>
      <c r="F51" s="13">
        <f>'P_L Workings'!U147</f>
        <v>4166.666666666667</v>
      </c>
      <c r="G51" s="13">
        <f>'P_L Workings'!V147</f>
        <v>4166.666666666667</v>
      </c>
      <c r="H51" s="13">
        <f>'P_L Workings'!W147</f>
        <v>4166.666666666667</v>
      </c>
      <c r="I51" s="13">
        <f>'P_L Workings'!X147</f>
        <v>4166.666666666667</v>
      </c>
      <c r="J51" s="13">
        <f>'P_L Workings'!Y147</f>
        <v>4166.666666666667</v>
      </c>
      <c r="K51" s="13">
        <f>'P_L Workings'!Z147</f>
        <v>4166.666666666667</v>
      </c>
      <c r="L51" s="13">
        <f>'P_L Workings'!AA147</f>
        <v>4166.666666666667</v>
      </c>
      <c r="M51" s="13">
        <f>'P_L Workings'!AB147</f>
        <v>4166.666666666667</v>
      </c>
      <c r="N51" s="13">
        <f>'P_L Workings'!AC147</f>
        <v>4166.666666666667</v>
      </c>
      <c r="P51" s="2">
        <f>SUM(C51:N51)</f>
        <v>49999.999999999993</v>
      </c>
    </row>
    <row r="52" spans="1:16" ht="13" x14ac:dyDescent="0.3">
      <c r="B52" t="s">
        <v>42</v>
      </c>
      <c r="C52" s="13">
        <f>'P_L Workings'!R148</f>
        <v>8333.3333333333339</v>
      </c>
      <c r="D52" s="13">
        <f>'P_L Workings'!S148</f>
        <v>8333.3333333333339</v>
      </c>
      <c r="E52" s="13">
        <f>'P_L Workings'!T148</f>
        <v>8333.3333333333339</v>
      </c>
      <c r="F52" s="13">
        <f>'P_L Workings'!U148</f>
        <v>8333.3333333333339</v>
      </c>
      <c r="G52" s="13">
        <f>'P_L Workings'!V148</f>
        <v>8333.3333333333339</v>
      </c>
      <c r="H52" s="13">
        <f>'P_L Workings'!W148</f>
        <v>8333.3333333333339</v>
      </c>
      <c r="I52" s="13">
        <f>'P_L Workings'!X148</f>
        <v>8333.3333333333339</v>
      </c>
      <c r="J52" s="13">
        <f>'P_L Workings'!Y148</f>
        <v>8333.3333333333339</v>
      </c>
      <c r="K52" s="13">
        <f>'P_L Workings'!Z148</f>
        <v>8333.3333333333339</v>
      </c>
      <c r="L52" s="13">
        <f>'P_L Workings'!AA148</f>
        <v>8333.3333333333339</v>
      </c>
      <c r="M52" s="13">
        <f>'P_L Workings'!AB148</f>
        <v>8333.3333333333339</v>
      </c>
      <c r="N52" s="13">
        <f>'P_L Workings'!AC148</f>
        <v>8333.3333333333339</v>
      </c>
      <c r="P52" s="2">
        <f>SUM(C52:N52)</f>
        <v>99999.999999999985</v>
      </c>
    </row>
    <row r="53" spans="1:16" ht="14" x14ac:dyDescent="0.3">
      <c r="B53" s="19" t="s">
        <v>3</v>
      </c>
      <c r="C53" s="15">
        <f t="shared" ref="C53:N53" si="4">SUM(C49:C52)</f>
        <v>28750</v>
      </c>
      <c r="D53" s="15">
        <f t="shared" si="4"/>
        <v>28750</v>
      </c>
      <c r="E53" s="15">
        <f t="shared" si="4"/>
        <v>28750</v>
      </c>
      <c r="F53" s="15">
        <f t="shared" si="4"/>
        <v>28750</v>
      </c>
      <c r="G53" s="15">
        <f t="shared" si="4"/>
        <v>28750</v>
      </c>
      <c r="H53" s="15">
        <f t="shared" si="4"/>
        <v>28750</v>
      </c>
      <c r="I53" s="15">
        <f t="shared" si="4"/>
        <v>28750</v>
      </c>
      <c r="J53" s="15">
        <f t="shared" si="4"/>
        <v>28750</v>
      </c>
      <c r="K53" s="15">
        <f t="shared" si="4"/>
        <v>28750</v>
      </c>
      <c r="L53" s="15">
        <f t="shared" si="4"/>
        <v>28750</v>
      </c>
      <c r="M53" s="15">
        <f t="shared" si="4"/>
        <v>28750</v>
      </c>
      <c r="N53" s="15">
        <f t="shared" si="4"/>
        <v>28750</v>
      </c>
      <c r="P53" s="15">
        <f>SUM(P49:P52)</f>
        <v>345000</v>
      </c>
    </row>
    <row r="54" spans="1:16" ht="6" customHeight="1" x14ac:dyDescent="0.3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P54" s="3"/>
    </row>
    <row r="55" spans="1:16" ht="15.5" x14ac:dyDescent="0.35">
      <c r="A55" s="17" t="s">
        <v>43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P55" s="3"/>
    </row>
    <row r="56" spans="1:16" ht="13" x14ac:dyDescent="0.3">
      <c r="B56" t="s">
        <v>44</v>
      </c>
      <c r="C56" s="13">
        <f>'P_L Workings'!R152</f>
        <v>23750</v>
      </c>
      <c r="D56" s="13">
        <f>'P_L Workings'!S152</f>
        <v>23750</v>
      </c>
      <c r="E56" s="13">
        <f>'P_L Workings'!T152</f>
        <v>23750</v>
      </c>
      <c r="F56" s="13">
        <f>'P_L Workings'!U152</f>
        <v>23750</v>
      </c>
      <c r="G56" s="13">
        <f>'P_L Workings'!V152</f>
        <v>23750</v>
      </c>
      <c r="H56" s="13">
        <f>'P_L Workings'!W152</f>
        <v>23750</v>
      </c>
      <c r="I56" s="13">
        <f>'P_L Workings'!X152</f>
        <v>23750</v>
      </c>
      <c r="J56" s="13">
        <f>'P_L Workings'!Y152</f>
        <v>23750</v>
      </c>
      <c r="K56" s="13">
        <f>'P_L Workings'!Z152</f>
        <v>23750</v>
      </c>
      <c r="L56" s="13">
        <f>'P_L Workings'!AA152</f>
        <v>23750</v>
      </c>
      <c r="M56" s="13">
        <f>'P_L Workings'!AB152</f>
        <v>23750</v>
      </c>
      <c r="N56" s="13">
        <f>'P_L Workings'!AC152</f>
        <v>23750</v>
      </c>
      <c r="P56" s="2">
        <f>SUM(C56:N56)</f>
        <v>285000</v>
      </c>
    </row>
    <row r="57" spans="1:16" ht="13" x14ac:dyDescent="0.3">
      <c r="B57" t="s">
        <v>45</v>
      </c>
      <c r="C57" s="13">
        <f>'P_L Workings'!R153</f>
        <v>3375</v>
      </c>
      <c r="D57" s="13">
        <f>'P_L Workings'!S153</f>
        <v>3375</v>
      </c>
      <c r="E57" s="13">
        <f>'P_L Workings'!T153</f>
        <v>3375</v>
      </c>
      <c r="F57" s="13">
        <f>'P_L Workings'!U153</f>
        <v>3375</v>
      </c>
      <c r="G57" s="13">
        <f>'P_L Workings'!V153</f>
        <v>3375</v>
      </c>
      <c r="H57" s="13">
        <f>'P_L Workings'!W153</f>
        <v>3375</v>
      </c>
      <c r="I57" s="13">
        <f>'P_L Workings'!X153</f>
        <v>3375</v>
      </c>
      <c r="J57" s="13">
        <f>'P_L Workings'!Y153</f>
        <v>3375</v>
      </c>
      <c r="K57" s="13">
        <f>'P_L Workings'!Z153</f>
        <v>3375</v>
      </c>
      <c r="L57" s="13">
        <f>'P_L Workings'!AA153</f>
        <v>3375</v>
      </c>
      <c r="M57" s="13">
        <f>'P_L Workings'!AB153</f>
        <v>3375</v>
      </c>
      <c r="N57" s="13">
        <f>'P_L Workings'!AC153</f>
        <v>3375</v>
      </c>
      <c r="P57" s="2">
        <f>SUM(C57:N57)</f>
        <v>40500</v>
      </c>
    </row>
    <row r="58" spans="1:16" ht="13" x14ac:dyDescent="0.3">
      <c r="B58" t="s">
        <v>46</v>
      </c>
      <c r="C58" s="13">
        <f>'P_L Workings'!R154</f>
        <v>20833.333333333332</v>
      </c>
      <c r="D58" s="13">
        <f>'P_L Workings'!S154</f>
        <v>20833.333333333332</v>
      </c>
      <c r="E58" s="13">
        <f>'P_L Workings'!T154</f>
        <v>20833.333333333332</v>
      </c>
      <c r="F58" s="13">
        <f>'P_L Workings'!U154</f>
        <v>20833.333333333332</v>
      </c>
      <c r="G58" s="13">
        <f>'P_L Workings'!V154</f>
        <v>20833.333333333332</v>
      </c>
      <c r="H58" s="13">
        <f>'P_L Workings'!W154</f>
        <v>20833.333333333332</v>
      </c>
      <c r="I58" s="13">
        <f>'P_L Workings'!X154</f>
        <v>20833.333333333332</v>
      </c>
      <c r="J58" s="13">
        <f>'P_L Workings'!Y154</f>
        <v>20833.333333333332</v>
      </c>
      <c r="K58" s="13">
        <f>'P_L Workings'!Z154</f>
        <v>20833.333333333332</v>
      </c>
      <c r="L58" s="13">
        <f>'P_L Workings'!AA154</f>
        <v>20833.333333333332</v>
      </c>
      <c r="M58" s="13">
        <f>'P_L Workings'!AB154</f>
        <v>20833.333333333332</v>
      </c>
      <c r="N58" s="13">
        <f>'P_L Workings'!AC154</f>
        <v>20833.333333333332</v>
      </c>
      <c r="P58" s="2">
        <f>SUM(C58:N58)</f>
        <v>250000.00000000003</v>
      </c>
    </row>
    <row r="59" spans="1:16" ht="13" x14ac:dyDescent="0.3">
      <c r="B59" t="s">
        <v>47</v>
      </c>
      <c r="C59" s="13">
        <f>'P_L Workings'!R155</f>
        <v>5062.5</v>
      </c>
      <c r="D59" s="13">
        <f>'P_L Workings'!S155</f>
        <v>5062.5</v>
      </c>
      <c r="E59" s="13">
        <f>'P_L Workings'!T155</f>
        <v>5062.5</v>
      </c>
      <c r="F59" s="13">
        <f>'P_L Workings'!U155</f>
        <v>5062.5</v>
      </c>
      <c r="G59" s="13">
        <f>'P_L Workings'!V155</f>
        <v>5062.5</v>
      </c>
      <c r="H59" s="13">
        <f>'P_L Workings'!W155</f>
        <v>5062.5</v>
      </c>
      <c r="I59" s="13">
        <f>'P_L Workings'!X155</f>
        <v>5062.5</v>
      </c>
      <c r="J59" s="13">
        <f>'P_L Workings'!Y155</f>
        <v>5062.5</v>
      </c>
      <c r="K59" s="13">
        <f>'P_L Workings'!Z155</f>
        <v>5062.5</v>
      </c>
      <c r="L59" s="13">
        <f>'P_L Workings'!AA155</f>
        <v>5062.5</v>
      </c>
      <c r="M59" s="13">
        <f>'P_L Workings'!AB155</f>
        <v>5062.5</v>
      </c>
      <c r="N59" s="13">
        <f>'P_L Workings'!AC155</f>
        <v>5062.5</v>
      </c>
      <c r="P59" s="2">
        <f>SUM(C59:N59)</f>
        <v>60750</v>
      </c>
    </row>
    <row r="60" spans="1:16" ht="13" x14ac:dyDescent="0.3">
      <c r="B60" t="s">
        <v>48</v>
      </c>
      <c r="C60" s="13">
        <f>'P_L Workings'!R156</f>
        <v>1125</v>
      </c>
      <c r="D60" s="13">
        <f>'P_L Workings'!S156</f>
        <v>1125</v>
      </c>
      <c r="E60" s="13">
        <f>'P_L Workings'!T156</f>
        <v>1125</v>
      </c>
      <c r="F60" s="13">
        <f>'P_L Workings'!U156</f>
        <v>1125</v>
      </c>
      <c r="G60" s="13">
        <f>'P_L Workings'!V156</f>
        <v>1125</v>
      </c>
      <c r="H60" s="13">
        <f>'P_L Workings'!W156</f>
        <v>1125</v>
      </c>
      <c r="I60" s="13">
        <f>'P_L Workings'!X156</f>
        <v>1125</v>
      </c>
      <c r="J60" s="13">
        <f>'P_L Workings'!Y156</f>
        <v>1125</v>
      </c>
      <c r="K60" s="13">
        <f>'P_L Workings'!Z156</f>
        <v>1125</v>
      </c>
      <c r="L60" s="13">
        <f>'P_L Workings'!AA156</f>
        <v>1125</v>
      </c>
      <c r="M60" s="13">
        <f>'P_L Workings'!AB156</f>
        <v>1125</v>
      </c>
      <c r="N60" s="13">
        <f>'P_L Workings'!AC156</f>
        <v>1125</v>
      </c>
      <c r="P60" s="2">
        <f>SUM(C60:N60)</f>
        <v>13500</v>
      </c>
    </row>
    <row r="61" spans="1:16" ht="14" x14ac:dyDescent="0.3">
      <c r="B61" s="19" t="s">
        <v>3</v>
      </c>
      <c r="C61" s="15">
        <f t="shared" ref="C61:N61" si="5">SUM(C56:C60)</f>
        <v>54145.833333333328</v>
      </c>
      <c r="D61" s="15">
        <f t="shared" si="5"/>
        <v>54145.833333333328</v>
      </c>
      <c r="E61" s="15">
        <f t="shared" si="5"/>
        <v>54145.833333333328</v>
      </c>
      <c r="F61" s="15">
        <f t="shared" si="5"/>
        <v>54145.833333333328</v>
      </c>
      <c r="G61" s="15">
        <f t="shared" si="5"/>
        <v>54145.833333333328</v>
      </c>
      <c r="H61" s="15">
        <f t="shared" si="5"/>
        <v>54145.833333333328</v>
      </c>
      <c r="I61" s="15">
        <f t="shared" si="5"/>
        <v>54145.833333333328</v>
      </c>
      <c r="J61" s="15">
        <f t="shared" si="5"/>
        <v>54145.833333333328</v>
      </c>
      <c r="K61" s="15">
        <f t="shared" si="5"/>
        <v>54145.833333333328</v>
      </c>
      <c r="L61" s="15">
        <f t="shared" si="5"/>
        <v>54145.833333333328</v>
      </c>
      <c r="M61" s="15">
        <f t="shared" si="5"/>
        <v>54145.833333333328</v>
      </c>
      <c r="N61" s="15">
        <f t="shared" si="5"/>
        <v>54145.833333333328</v>
      </c>
      <c r="P61" s="15">
        <f>SUM(P56:P60)</f>
        <v>649750</v>
      </c>
    </row>
    <row r="62" spans="1:16" ht="6" customHeight="1" x14ac:dyDescent="0.3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P62" s="3"/>
    </row>
    <row r="63" spans="1:16" ht="15.5" x14ac:dyDescent="0.35">
      <c r="A63" s="17" t="s">
        <v>49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P63" s="3"/>
    </row>
    <row r="64" spans="1:16" ht="13" x14ac:dyDescent="0.3">
      <c r="B64" t="s">
        <v>49</v>
      </c>
      <c r="C64" s="18">
        <f>'P_L Workings'!R163</f>
        <v>66285.71428571429</v>
      </c>
      <c r="D64" s="18">
        <f>'P_L Workings'!S163</f>
        <v>70857.142857142855</v>
      </c>
      <c r="E64" s="18">
        <f>'P_L Workings'!T163</f>
        <v>68571.42857142858</v>
      </c>
      <c r="F64" s="18">
        <f>'P_L Workings'!U163</f>
        <v>70857.142857142855</v>
      </c>
      <c r="G64" s="18">
        <f>'P_L Workings'!V163</f>
        <v>70857.142857142855</v>
      </c>
      <c r="H64" s="18">
        <f>'P_L Workings'!W163</f>
        <v>68571.42857142858</v>
      </c>
      <c r="I64" s="18">
        <f>'P_L Workings'!X163</f>
        <v>70857.142857142855</v>
      </c>
      <c r="J64" s="18">
        <f>'P_L Workings'!Y163</f>
        <v>66285.71428571429</v>
      </c>
      <c r="K64" s="18">
        <f>'P_L Workings'!Z163</f>
        <v>70857.142857142855</v>
      </c>
      <c r="L64" s="18">
        <f>'P_L Workings'!AA163</f>
        <v>41142.857142857145</v>
      </c>
      <c r="M64" s="18">
        <f>'P_L Workings'!AB163</f>
        <v>64000</v>
      </c>
      <c r="N64" s="18">
        <f>'P_L Workings'!AC163</f>
        <v>70857.142857142855</v>
      </c>
      <c r="P64" s="18">
        <f>SUM(C64:N64)</f>
        <v>800000</v>
      </c>
    </row>
    <row r="65" spans="1:16" ht="14" hidden="1" x14ac:dyDescent="0.3">
      <c r="B65" s="19" t="s">
        <v>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P65" s="3"/>
    </row>
    <row r="66" spans="1:16" ht="6" customHeight="1" x14ac:dyDescent="0.3"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P66" s="3"/>
    </row>
    <row r="67" spans="1:16" ht="15.5" x14ac:dyDescent="0.35">
      <c r="A67" s="17" t="s">
        <v>50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P67" s="3"/>
    </row>
    <row r="68" spans="1:16" ht="12.75" customHeight="1" x14ac:dyDescent="0.35">
      <c r="A68" s="17"/>
      <c r="B68" t="s">
        <v>51</v>
      </c>
      <c r="C68" s="13">
        <f>'P_L Workings'!R166</f>
        <v>272.45067008842381</v>
      </c>
      <c r="D68" s="13">
        <f>'P_L Workings'!S166</f>
        <v>267.90982558695003</v>
      </c>
      <c r="E68" s="13">
        <f>'P_L Workings'!T166</f>
        <v>263.44466182716752</v>
      </c>
      <c r="F68" s="13">
        <f>'P_L Workings'!U166</f>
        <v>259.05391746338142</v>
      </c>
      <c r="G68" s="13">
        <f>'P_L Workings'!V166</f>
        <v>254.73635217232507</v>
      </c>
      <c r="H68" s="13">
        <f>'P_L Workings'!W166</f>
        <v>250.49074630278633</v>
      </c>
      <c r="I68" s="13">
        <f>'P_L Workings'!X166</f>
        <v>246.31590053107323</v>
      </c>
      <c r="J68" s="13">
        <f>'P_L Workings'!Y166</f>
        <v>242.21063552222199</v>
      </c>
      <c r="K68" s="13">
        <f>'P_L Workings'!Z166</f>
        <v>238.17379159685163</v>
      </c>
      <c r="L68" s="13">
        <f>'P_L Workings'!AA166</f>
        <v>234.20422840357074</v>
      </c>
      <c r="M68" s="13">
        <f>'P_L Workings'!AB166</f>
        <v>230.30082459684459</v>
      </c>
      <c r="N68" s="13">
        <f>'P_L Workings'!AC166</f>
        <v>226.46247752023052</v>
      </c>
      <c r="P68" s="2">
        <f>SUM(C68:N68)</f>
        <v>2985.7540316118266</v>
      </c>
    </row>
    <row r="69" spans="1:16" ht="12.75" customHeight="1" x14ac:dyDescent="0.35">
      <c r="A69" s="17"/>
      <c r="B69" t="s">
        <v>52</v>
      </c>
      <c r="C69" s="13">
        <f>P_L!R69</f>
        <v>8104.4210446022989</v>
      </c>
      <c r="D69" s="13">
        <f>P_L!S69</f>
        <v>7451.9550409496278</v>
      </c>
      <c r="E69" s="13">
        <f>P_L!T69</f>
        <v>6795.4111247741284</v>
      </c>
      <c r="F69" s="13">
        <f>P_L!U69</f>
        <v>6134.7638091225335</v>
      </c>
      <c r="G69" s="13">
        <f>P_L!V69</f>
        <v>5469.9874477481171</v>
      </c>
      <c r="H69" s="13">
        <f>P_L!W69</f>
        <v>4801.0562341151117</v>
      </c>
      <c r="I69" s="13">
        <f>P_L!X69</f>
        <v>4127.9442003969016</v>
      </c>
      <c r="J69" s="13">
        <f>P_L!Y69</f>
        <v>3450.625216467954</v>
      </c>
      <c r="K69" s="13">
        <f>P_L!Z69</f>
        <v>2769.0729888894521</v>
      </c>
      <c r="L69" s="13">
        <f>P_L!AA69</f>
        <v>2083.2610598885854</v>
      </c>
      <c r="M69" s="13">
        <f>P_L!AB69</f>
        <v>1393.1628063314643</v>
      </c>
      <c r="N69" s="13">
        <f>P_L!AC69</f>
        <v>698.7514386896122</v>
      </c>
      <c r="P69" s="2">
        <f>SUM(C69:N69)</f>
        <v>53280.412411975783</v>
      </c>
    </row>
    <row r="70" spans="1:16" ht="13" x14ac:dyDescent="0.3">
      <c r="B70" t="s">
        <v>53</v>
      </c>
      <c r="C70" s="13">
        <f>'P_L Workings'!R168</f>
        <v>6250</v>
      </c>
      <c r="D70" s="13">
        <f>'P_L Workings'!S168</f>
        <v>6250</v>
      </c>
      <c r="E70" s="13">
        <f>'P_L Workings'!T168</f>
        <v>6250</v>
      </c>
      <c r="F70" s="13">
        <f>'P_L Workings'!U168</f>
        <v>6250</v>
      </c>
      <c r="G70" s="13">
        <f>'P_L Workings'!V168</f>
        <v>6250</v>
      </c>
      <c r="H70" s="13">
        <f>'P_L Workings'!W168</f>
        <v>6250</v>
      </c>
      <c r="I70" s="13">
        <f>'P_L Workings'!X168</f>
        <v>6250</v>
      </c>
      <c r="J70" s="13">
        <f>'P_L Workings'!Y168</f>
        <v>6250</v>
      </c>
      <c r="K70" s="13">
        <f>'P_L Workings'!Z168</f>
        <v>6250</v>
      </c>
      <c r="L70" s="13">
        <f>'P_L Workings'!AA168</f>
        <v>6250</v>
      </c>
      <c r="M70" s="13">
        <f>'P_L Workings'!AB168</f>
        <v>6250</v>
      </c>
      <c r="N70" s="13">
        <f>'P_L Workings'!AC168</f>
        <v>6250</v>
      </c>
      <c r="P70" s="2">
        <f>SUM(C70:N70)</f>
        <v>75000</v>
      </c>
    </row>
    <row r="71" spans="1:16" ht="13" x14ac:dyDescent="0.3">
      <c r="B71" t="s">
        <v>54</v>
      </c>
      <c r="C71" s="13">
        <f>'P_L Workings'!R169</f>
        <v>0</v>
      </c>
      <c r="D71" s="13">
        <f>'P_L Workings'!S169</f>
        <v>0</v>
      </c>
      <c r="E71" s="13">
        <f>'P_L Workings'!T169</f>
        <v>0</v>
      </c>
      <c r="F71" s="13">
        <f>'P_L Workings'!U169</f>
        <v>0</v>
      </c>
      <c r="G71" s="13">
        <f>'P_L Workings'!V169</f>
        <v>0</v>
      </c>
      <c r="H71" s="13">
        <f>'P_L Workings'!W169</f>
        <v>0</v>
      </c>
      <c r="I71" s="13">
        <f>'P_L Workings'!X169</f>
        <v>0</v>
      </c>
      <c r="J71" s="13">
        <f>'P_L Workings'!Y169</f>
        <v>0</v>
      </c>
      <c r="K71" s="13">
        <f>'P_L Workings'!Z169</f>
        <v>0</v>
      </c>
      <c r="L71" s="13">
        <f>'P_L Workings'!AA169</f>
        <v>0</v>
      </c>
      <c r="M71" s="13">
        <f>'P_L Workings'!AB169</f>
        <v>0</v>
      </c>
      <c r="N71" s="13">
        <f>'P_L Workings'!AC169</f>
        <v>0</v>
      </c>
      <c r="P71" s="2">
        <f>SUM(C71:N71)</f>
        <v>0</v>
      </c>
    </row>
    <row r="72" spans="1:16" ht="14" x14ac:dyDescent="0.3">
      <c r="B72" s="19" t="s">
        <v>3</v>
      </c>
      <c r="C72" s="15">
        <f t="shared" ref="C72:N72" si="6">SUM(C68:C71)</f>
        <v>14626.871714690722</v>
      </c>
      <c r="D72" s="15">
        <f t="shared" si="6"/>
        <v>13969.864866536578</v>
      </c>
      <c r="E72" s="15">
        <f t="shared" si="6"/>
        <v>13308.855786601296</v>
      </c>
      <c r="F72" s="15">
        <f t="shared" si="6"/>
        <v>12643.817726585916</v>
      </c>
      <c r="G72" s="15">
        <f t="shared" si="6"/>
        <v>11974.723799920443</v>
      </c>
      <c r="H72" s="15">
        <f t="shared" si="6"/>
        <v>11301.546980417897</v>
      </c>
      <c r="I72" s="15">
        <f t="shared" si="6"/>
        <v>10624.260100927975</v>
      </c>
      <c r="J72" s="15">
        <f t="shared" si="6"/>
        <v>9942.8358519901758</v>
      </c>
      <c r="K72" s="15">
        <f t="shared" si="6"/>
        <v>9257.2467804863045</v>
      </c>
      <c r="L72" s="15">
        <f t="shared" si="6"/>
        <v>8567.4652882921564</v>
      </c>
      <c r="M72" s="15">
        <f t="shared" si="6"/>
        <v>7873.4636309283087</v>
      </c>
      <c r="N72" s="15">
        <f t="shared" si="6"/>
        <v>7175.2139162098429</v>
      </c>
      <c r="P72" s="15">
        <f>SUM(P68:P71)</f>
        <v>131266.1664435876</v>
      </c>
    </row>
    <row r="73" spans="1:16" ht="12" customHeight="1" x14ac:dyDescent="0.3"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P73" s="3"/>
    </row>
    <row r="74" spans="1:16" ht="15.5" x14ac:dyDescent="0.35">
      <c r="A74" s="4" t="s">
        <v>55</v>
      </c>
      <c r="C74" s="15">
        <f t="shared" ref="C74:N74" si="7">C72+C64+C61+C53+C46+C29+C23</f>
        <v>1421512.3983813573</v>
      </c>
      <c r="D74" s="15">
        <f t="shared" si="7"/>
        <v>1475862.0715332031</v>
      </c>
      <c r="E74" s="15">
        <f t="shared" si="7"/>
        <v>1447697.7224532678</v>
      </c>
      <c r="F74" s="15">
        <f t="shared" si="7"/>
        <v>1474536.0243932523</v>
      </c>
      <c r="G74" s="15">
        <f t="shared" si="7"/>
        <v>1473866.930466587</v>
      </c>
      <c r="H74" s="15">
        <f t="shared" si="7"/>
        <v>1445690.4136470845</v>
      </c>
      <c r="I74" s="15">
        <f t="shared" si="7"/>
        <v>1472516.4667675945</v>
      </c>
      <c r="J74" s="15">
        <f t="shared" si="7"/>
        <v>1416828.3625186568</v>
      </c>
      <c r="K74" s="15">
        <f t="shared" si="7"/>
        <v>1471149.4534471529</v>
      </c>
      <c r="L74" s="15">
        <f t="shared" si="7"/>
        <v>1112916.251954959</v>
      </c>
      <c r="M74" s="15">
        <f t="shared" si="7"/>
        <v>1387255.6502975952</v>
      </c>
      <c r="N74" s="15">
        <f t="shared" si="7"/>
        <v>1469067.4205828763</v>
      </c>
      <c r="P74" s="15">
        <f>P72+P64+P61+P53+P46+P29+P23</f>
        <v>17068899.16644359</v>
      </c>
    </row>
    <row r="75" spans="1:16" ht="13" x14ac:dyDescent="0.3"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P75" s="16"/>
    </row>
    <row r="76" spans="1:16" ht="15.5" x14ac:dyDescent="0.35">
      <c r="A76" s="4" t="s">
        <v>56</v>
      </c>
      <c r="C76" s="22">
        <f t="shared" ref="C76:N76" si="8">C18-C74</f>
        <v>83310.071618642891</v>
      </c>
      <c r="D76" s="22">
        <f t="shared" si="8"/>
        <v>132741.25846679695</v>
      </c>
      <c r="E76" s="22">
        <f t="shared" si="8"/>
        <v>219581.07754673227</v>
      </c>
      <c r="F76" s="22">
        <f t="shared" si="8"/>
        <v>354599.13560674782</v>
      </c>
      <c r="G76" s="22">
        <f t="shared" si="8"/>
        <v>355268.22953341319</v>
      </c>
      <c r="H76" s="22">
        <f t="shared" si="8"/>
        <v>111022.48635291541</v>
      </c>
      <c r="I76" s="22">
        <f t="shared" si="8"/>
        <v>136086.86323240562</v>
      </c>
      <c r="J76" s="22">
        <f t="shared" si="8"/>
        <v>87994.107481343439</v>
      </c>
      <c r="K76" s="22">
        <f t="shared" si="8"/>
        <v>166680.98655284708</v>
      </c>
      <c r="L76" s="22">
        <f t="shared" si="8"/>
        <v>-178888.5119549589</v>
      </c>
      <c r="M76" s="22">
        <f t="shared" si="8"/>
        <v>65676.389702404849</v>
      </c>
      <c r="N76" s="22">
        <f t="shared" si="8"/>
        <v>139535.90941712377</v>
      </c>
      <c r="P76" s="22">
        <f>P18-P74</f>
        <v>1673608.003556408</v>
      </c>
    </row>
  </sheetData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/>
  <headerFooter alignWithMargins="0"/>
  <rowBreaks count="1" manualBreakCount="1">
    <brk id="6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zoomScaleSheetLayoutView="75" workbookViewId="0">
      <pane xSplit="2" ySplit="7" topLeftCell="K8" activePane="bottomRight" state="frozen"/>
      <selection pane="topRight" activeCell="K1" sqref="K1"/>
      <selection pane="bottomLeft" activeCell="A59" sqref="A59"/>
      <selection pane="bottomRight"/>
    </sheetView>
  </sheetViews>
  <sheetFormatPr defaultRowHeight="12.5" x14ac:dyDescent="0.25"/>
  <cols>
    <col min="1" max="1" width="2.453125" customWidth="1"/>
    <col min="2" max="2" width="28.81640625" customWidth="1"/>
    <col min="3" max="3" width="12.54296875" customWidth="1"/>
    <col min="4" max="4" width="13.54296875" customWidth="1"/>
    <col min="5" max="5" width="12.54296875" customWidth="1"/>
    <col min="6" max="6" width="13.81640625" customWidth="1"/>
    <col min="7" max="7" width="14.54296875" customWidth="1"/>
    <col min="8" max="8" width="13.08984375" customWidth="1"/>
    <col min="9" max="9" width="12.81640625" customWidth="1"/>
    <col min="10" max="10" width="14" customWidth="1"/>
    <col min="11" max="11" width="13.26953125" customWidth="1"/>
    <col min="12" max="13" width="13.08984375" customWidth="1"/>
    <col min="14" max="14" width="12.54296875" customWidth="1"/>
    <col min="15" max="15" width="3.7265625" customWidth="1"/>
    <col min="16" max="16" width="14.54296875" customWidth="1"/>
  </cols>
  <sheetData>
    <row r="1" spans="1:16" ht="15.5" x14ac:dyDescent="0.35">
      <c r="A1" s="4" t="s">
        <v>240</v>
      </c>
      <c r="B1" s="5"/>
    </row>
    <row r="2" spans="1:16" ht="15.5" x14ac:dyDescent="0.35">
      <c r="A2" s="201" t="s">
        <v>241</v>
      </c>
      <c r="B2" s="5"/>
    </row>
    <row r="3" spans="1:16" ht="15.5" x14ac:dyDescent="0.35">
      <c r="A3" s="4" t="s">
        <v>78</v>
      </c>
      <c r="B3" s="5"/>
    </row>
    <row r="5" spans="1:16" s="1" customFormat="1" ht="13" x14ac:dyDescent="0.3">
      <c r="C5" s="8" t="s">
        <v>64</v>
      </c>
      <c r="D5" s="8" t="s">
        <v>65</v>
      </c>
      <c r="E5" s="8" t="s">
        <v>66</v>
      </c>
      <c r="F5" s="8" t="s">
        <v>67</v>
      </c>
      <c r="G5" s="8" t="s">
        <v>68</v>
      </c>
      <c r="H5" s="8" t="s">
        <v>69</v>
      </c>
      <c r="I5" s="8" t="s">
        <v>70</v>
      </c>
      <c r="J5" s="8" t="s">
        <v>71</v>
      </c>
      <c r="K5" s="8" t="s">
        <v>72</v>
      </c>
      <c r="L5" s="8" t="s">
        <v>60</v>
      </c>
      <c r="M5" s="8" t="s">
        <v>61</v>
      </c>
      <c r="N5" s="8" t="s">
        <v>62</v>
      </c>
      <c r="P5" s="8" t="s">
        <v>3</v>
      </c>
    </row>
    <row r="6" spans="1:16" s="9" customFormat="1" ht="13" x14ac:dyDescent="0.3">
      <c r="C6" s="7">
        <v>2008</v>
      </c>
      <c r="D6" s="7">
        <v>2008</v>
      </c>
      <c r="E6" s="7">
        <v>2008</v>
      </c>
      <c r="F6" s="7">
        <v>2008</v>
      </c>
      <c r="G6" s="7">
        <v>2008</v>
      </c>
      <c r="H6" s="7">
        <v>2008</v>
      </c>
      <c r="I6" s="7">
        <v>2008</v>
      </c>
      <c r="J6" s="7">
        <v>2008</v>
      </c>
      <c r="K6" s="7">
        <v>2008</v>
      </c>
      <c r="L6" s="7">
        <v>2009</v>
      </c>
      <c r="M6" s="7">
        <v>2009</v>
      </c>
      <c r="N6" s="7">
        <v>2009</v>
      </c>
      <c r="P6" s="7">
        <v>2009</v>
      </c>
    </row>
    <row r="7" spans="1:16" s="9" customFormat="1" ht="15.5" x14ac:dyDescent="0.35">
      <c r="A7" s="4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6" ht="13" x14ac:dyDescent="0.3">
      <c r="B8" t="s">
        <v>8</v>
      </c>
      <c r="C8" s="13">
        <f>'P_L Workings'!AD46</f>
        <v>1576904</v>
      </c>
      <c r="D8" s="13">
        <f>'P_L Workings'!AE46</f>
        <v>1685656</v>
      </c>
      <c r="E8" s="13">
        <f>'P_L Workings'!AF46</f>
        <v>1708419</v>
      </c>
      <c r="F8" s="13">
        <f>'P_L Workings'!AG46</f>
        <v>1871646.7</v>
      </c>
      <c r="G8" s="13">
        <f>'P_L Workings'!AH46</f>
        <v>1871646.7</v>
      </c>
      <c r="H8" s="13">
        <f>'P_L Workings'!AI46</f>
        <v>1605567</v>
      </c>
      <c r="I8" s="13">
        <f>'P_L Workings'!AJ46</f>
        <v>1659085.9000000001</v>
      </c>
      <c r="J8" s="13">
        <f>'P_L Workings'!AK46</f>
        <v>1552048.1</v>
      </c>
      <c r="K8" s="13">
        <f>'P_L Workings'!AL46</f>
        <v>1685656</v>
      </c>
      <c r="L8" s="13">
        <f>'P_L Workings'!AM46</f>
        <v>1016859.1</v>
      </c>
      <c r="M8" s="13">
        <f>'P_L Workings'!AN46</f>
        <v>1445010.3</v>
      </c>
      <c r="N8" s="13">
        <f>'P_L Workings'!AO46</f>
        <v>1659085.9000000001</v>
      </c>
      <c r="P8" s="2">
        <f t="shared" ref="P8:P17" si="0">SUM(C8:N8)</f>
        <v>19337584.699999999</v>
      </c>
    </row>
    <row r="9" spans="1:16" ht="13" x14ac:dyDescent="0.3">
      <c r="B9" t="s">
        <v>9</v>
      </c>
      <c r="C9" s="13">
        <f>'P_L Workings'!AD69</f>
        <v>18227.66</v>
      </c>
      <c r="D9" s="13">
        <f>'P_L Workings'!AE69</f>
        <v>19484.739999999998</v>
      </c>
      <c r="E9" s="13">
        <f>'P_L Workings'!AF69</f>
        <v>28284.3</v>
      </c>
      <c r="F9" s="13">
        <f>'P_L Workings'!AG69</f>
        <v>29227.109999999997</v>
      </c>
      <c r="G9" s="13">
        <f>'P_L Workings'!AH69</f>
        <v>29227.109999999997</v>
      </c>
      <c r="H9" s="13">
        <f>'P_L Workings'!AI69</f>
        <v>14142.15</v>
      </c>
      <c r="I9" s="13">
        <f>'P_L Workings'!AJ69</f>
        <v>14613.554999999998</v>
      </c>
      <c r="J9" s="13">
        <f>'P_L Workings'!AK69</f>
        <v>13670.744999999999</v>
      </c>
      <c r="K9" s="13">
        <f>'P_L Workings'!AL69</f>
        <v>19484.739999999998</v>
      </c>
      <c r="L9" s="13">
        <f>'P_L Workings'!AM69</f>
        <v>8956.6949999999997</v>
      </c>
      <c r="M9" s="13">
        <f>'P_L Workings'!AN69</f>
        <v>12727.934999999999</v>
      </c>
      <c r="N9" s="13">
        <f>'P_L Workings'!AO69</f>
        <v>14613.554999999998</v>
      </c>
      <c r="P9" s="2">
        <f t="shared" si="0"/>
        <v>222660.29499999998</v>
      </c>
    </row>
    <row r="10" spans="1:16" ht="13" hidden="1" x14ac:dyDescent="0.3">
      <c r="B10" t="s">
        <v>10</v>
      </c>
      <c r="P10" s="2">
        <f t="shared" si="0"/>
        <v>0</v>
      </c>
    </row>
    <row r="11" spans="1:16" ht="13" hidden="1" x14ac:dyDescent="0.3">
      <c r="B11" t="s">
        <v>11</v>
      </c>
      <c r="P11" s="2">
        <f t="shared" si="0"/>
        <v>0</v>
      </c>
    </row>
    <row r="12" spans="1:16" ht="13" hidden="1" x14ac:dyDescent="0.3">
      <c r="B12" t="s">
        <v>12</v>
      </c>
      <c r="P12" s="2">
        <f t="shared" si="0"/>
        <v>0</v>
      </c>
    </row>
    <row r="13" spans="1:16" ht="13" hidden="1" x14ac:dyDescent="0.3">
      <c r="B13" t="s">
        <v>13</v>
      </c>
      <c r="P13" s="2">
        <f t="shared" si="0"/>
        <v>0</v>
      </c>
    </row>
    <row r="14" spans="1:16" ht="13" hidden="1" x14ac:dyDescent="0.3">
      <c r="B14" t="s">
        <v>14</v>
      </c>
      <c r="P14" s="2">
        <f t="shared" si="0"/>
        <v>0</v>
      </c>
    </row>
    <row r="15" spans="1:16" ht="13" hidden="1" x14ac:dyDescent="0.3">
      <c r="B15" t="s">
        <v>15</v>
      </c>
      <c r="P15" s="2">
        <f t="shared" si="0"/>
        <v>0</v>
      </c>
    </row>
    <row r="16" spans="1:16" ht="13" hidden="1" x14ac:dyDescent="0.3">
      <c r="B16" t="s">
        <v>16</v>
      </c>
      <c r="P16" s="2">
        <f t="shared" si="0"/>
        <v>0</v>
      </c>
    </row>
    <row r="17" spans="1:16" ht="13" x14ac:dyDescent="0.3">
      <c r="B17" t="s">
        <v>17</v>
      </c>
      <c r="C17" s="24">
        <f>'P_L Workings'!AD74</f>
        <v>20300</v>
      </c>
      <c r="D17" s="24">
        <f>'P_L Workings'!AE74</f>
        <v>21700</v>
      </c>
      <c r="E17" s="24">
        <f>'P_L Workings'!AF74</f>
        <v>21000</v>
      </c>
      <c r="F17" s="24">
        <f>'P_L Workings'!AG74</f>
        <v>21700</v>
      </c>
      <c r="G17" s="24">
        <f>'P_L Workings'!AH74</f>
        <v>21700</v>
      </c>
      <c r="H17" s="24">
        <f>'P_L Workings'!AI74</f>
        <v>21000</v>
      </c>
      <c r="I17" s="24">
        <f>'P_L Workings'!AJ74</f>
        <v>21700</v>
      </c>
      <c r="J17" s="24">
        <f>'P_L Workings'!AK74</f>
        <v>20300</v>
      </c>
      <c r="K17" s="24">
        <f>'P_L Workings'!AL74</f>
        <v>21700</v>
      </c>
      <c r="L17" s="24">
        <f>'P_L Workings'!AM74</f>
        <v>13300</v>
      </c>
      <c r="M17" s="24">
        <f>'P_L Workings'!AN74</f>
        <v>18900</v>
      </c>
      <c r="N17" s="24">
        <f>'P_L Workings'!AO74</f>
        <v>21700</v>
      </c>
      <c r="P17" s="2">
        <f t="shared" si="0"/>
        <v>245000</v>
      </c>
    </row>
    <row r="18" spans="1:16" ht="14" x14ac:dyDescent="0.3">
      <c r="A18" s="14" t="s">
        <v>18</v>
      </c>
      <c r="C18" s="15">
        <f t="shared" ref="C18:N18" si="1">SUM(C8:C17)</f>
        <v>1615431.66</v>
      </c>
      <c r="D18" s="15">
        <f t="shared" si="1"/>
        <v>1726840.74</v>
      </c>
      <c r="E18" s="15">
        <f t="shared" si="1"/>
        <v>1757703.3</v>
      </c>
      <c r="F18" s="15">
        <f t="shared" si="1"/>
        <v>1922573.81</v>
      </c>
      <c r="G18" s="15">
        <f t="shared" si="1"/>
        <v>1922573.81</v>
      </c>
      <c r="H18" s="15">
        <f t="shared" si="1"/>
        <v>1640709.15</v>
      </c>
      <c r="I18" s="15">
        <f t="shared" si="1"/>
        <v>1695399.4550000001</v>
      </c>
      <c r="J18" s="15">
        <f t="shared" si="1"/>
        <v>1586018.8450000002</v>
      </c>
      <c r="K18" s="15">
        <f t="shared" si="1"/>
        <v>1726840.74</v>
      </c>
      <c r="L18" s="15">
        <f t="shared" si="1"/>
        <v>1039115.7949999999</v>
      </c>
      <c r="M18" s="15">
        <f t="shared" si="1"/>
        <v>1476638.2350000001</v>
      </c>
      <c r="N18" s="15">
        <f t="shared" si="1"/>
        <v>1695399.4550000001</v>
      </c>
      <c r="P18" s="15">
        <f>SUM(P8:P17)</f>
        <v>19805244.995000001</v>
      </c>
    </row>
    <row r="19" spans="1:16" ht="13" x14ac:dyDescent="0.3">
      <c r="P19" s="3"/>
    </row>
    <row r="20" spans="1:16" ht="15.5" x14ac:dyDescent="0.35">
      <c r="A20" s="4" t="s">
        <v>19</v>
      </c>
      <c r="P20" s="3"/>
    </row>
    <row r="21" spans="1:16" ht="6" customHeight="1" x14ac:dyDescent="0.35">
      <c r="A21" s="4"/>
      <c r="P21" s="3"/>
    </row>
    <row r="22" spans="1:16" ht="15.5" x14ac:dyDescent="0.35">
      <c r="A22" s="17" t="s">
        <v>20</v>
      </c>
      <c r="P22" s="3"/>
    </row>
    <row r="23" spans="1:16" ht="13" x14ac:dyDescent="0.3">
      <c r="B23" t="s">
        <v>21</v>
      </c>
      <c r="C23" s="18">
        <f>'P_L Workings'!AD81</f>
        <v>0</v>
      </c>
      <c r="D23" s="18">
        <f>'P_L Workings'!AE81</f>
        <v>0</v>
      </c>
      <c r="E23" s="18">
        <f>'P_L Workings'!AF81</f>
        <v>0</v>
      </c>
      <c r="F23" s="18">
        <f>'P_L Workings'!AG81</f>
        <v>0</v>
      </c>
      <c r="G23" s="18">
        <f>'P_L Workings'!AH81</f>
        <v>0</v>
      </c>
      <c r="H23" s="18">
        <f>'P_L Workings'!AI81</f>
        <v>0</v>
      </c>
      <c r="I23" s="18">
        <f>'P_L Workings'!AJ81</f>
        <v>0</v>
      </c>
      <c r="J23" s="18">
        <f>'P_L Workings'!AK81</f>
        <v>0</v>
      </c>
      <c r="K23" s="18">
        <f>'P_L Workings'!AL81</f>
        <v>0</v>
      </c>
      <c r="L23" s="18">
        <f>'P_L Workings'!AM81</f>
        <v>0</v>
      </c>
      <c r="M23" s="18">
        <f>'P_L Workings'!AN81</f>
        <v>0</v>
      </c>
      <c r="N23" s="18">
        <f>'P_L Workings'!AO81</f>
        <v>0</v>
      </c>
      <c r="P23" s="18">
        <f>SUM(C23:N23)</f>
        <v>0</v>
      </c>
    </row>
    <row r="24" spans="1:16" ht="13" hidden="1" x14ac:dyDescent="0.3">
      <c r="B24" t="s">
        <v>16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P24" s="3"/>
    </row>
    <row r="25" spans="1:16" ht="13" hidden="1" x14ac:dyDescent="0.3">
      <c r="B25" t="s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P25" s="3"/>
    </row>
    <row r="26" spans="1:16" ht="14" hidden="1" x14ac:dyDescent="0.3">
      <c r="B26" s="19" t="s">
        <v>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P26" s="3"/>
    </row>
    <row r="27" spans="1:16" ht="6" customHeight="1" x14ac:dyDescent="0.3"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P27" s="3"/>
    </row>
    <row r="28" spans="1:16" ht="15.5" x14ac:dyDescent="0.35">
      <c r="A28" s="17" t="s">
        <v>23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P28" s="3"/>
    </row>
    <row r="29" spans="1:16" ht="13" x14ac:dyDescent="0.3">
      <c r="B29" t="s">
        <v>9</v>
      </c>
      <c r="C29" s="18">
        <f>'P_L Workings'!AD90</f>
        <v>20714.285714285717</v>
      </c>
      <c r="D29" s="18">
        <f>'P_L Workings'!AE90</f>
        <v>22142.857142857145</v>
      </c>
      <c r="E29" s="18">
        <f>'P_L Workings'!AF90</f>
        <v>21428.571428571431</v>
      </c>
      <c r="F29" s="18">
        <f>'P_L Workings'!AG90</f>
        <v>22142.857142857145</v>
      </c>
      <c r="G29" s="18">
        <f>'P_L Workings'!AH90</f>
        <v>22142.857142857145</v>
      </c>
      <c r="H29" s="18">
        <f>'P_L Workings'!AI90</f>
        <v>21428.571428571431</v>
      </c>
      <c r="I29" s="18">
        <f>'P_L Workings'!AJ90</f>
        <v>22142.857142857145</v>
      </c>
      <c r="J29" s="18">
        <f>'P_L Workings'!AK90</f>
        <v>20714.285714285717</v>
      </c>
      <c r="K29" s="18">
        <f>'P_L Workings'!AL90</f>
        <v>22142.857142857145</v>
      </c>
      <c r="L29" s="18">
        <f>'P_L Workings'!AM90</f>
        <v>13571.428571428572</v>
      </c>
      <c r="M29" s="18">
        <f>'P_L Workings'!AN90</f>
        <v>19285.714285714286</v>
      </c>
      <c r="N29" s="18">
        <f>'P_L Workings'!AO90</f>
        <v>22142.857142857145</v>
      </c>
      <c r="P29" s="18">
        <f>SUM(C29:N29)</f>
        <v>250000</v>
      </c>
    </row>
    <row r="30" spans="1:16" ht="14" hidden="1" x14ac:dyDescent="0.3">
      <c r="B30" s="19" t="s">
        <v>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P30" s="3"/>
    </row>
    <row r="31" spans="1:16" ht="6" customHeight="1" x14ac:dyDescent="0.3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P31" s="3"/>
    </row>
    <row r="32" spans="1:16" ht="15.5" x14ac:dyDescent="0.35">
      <c r="A32" s="17" t="s">
        <v>24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P32" s="3"/>
    </row>
    <row r="33" spans="1:16" ht="13" x14ac:dyDescent="0.3">
      <c r="B33" t="s">
        <v>25</v>
      </c>
      <c r="C33" s="13">
        <f>'P_L Workings'!AD94</f>
        <v>477976.16666666669</v>
      </c>
      <c r="D33" s="13">
        <f>'P_L Workings'!AE94</f>
        <v>477976.16666666669</v>
      </c>
      <c r="E33" s="13">
        <f>'P_L Workings'!AF94</f>
        <v>477976.16666666669</v>
      </c>
      <c r="F33" s="13">
        <f>'P_L Workings'!AG94</f>
        <v>477976.16666666669</v>
      </c>
      <c r="G33" s="13">
        <f>'P_L Workings'!AH94</f>
        <v>477976.16666666669</v>
      </c>
      <c r="H33" s="13">
        <f>'P_L Workings'!AI94</f>
        <v>477976.16666666669</v>
      </c>
      <c r="I33" s="13">
        <f>'P_L Workings'!AJ94</f>
        <v>477976.16666666669</v>
      </c>
      <c r="J33" s="13">
        <f>'P_L Workings'!AK94</f>
        <v>477976.16666666669</v>
      </c>
      <c r="K33" s="13">
        <f>'P_L Workings'!AL94</f>
        <v>477976.16666666669</v>
      </c>
      <c r="L33" s="13">
        <f>'P_L Workings'!AM94</f>
        <v>477976.16666666669</v>
      </c>
      <c r="M33" s="13">
        <f>'P_L Workings'!AN94</f>
        <v>477976.16666666669</v>
      </c>
      <c r="N33" s="13">
        <f>'P_L Workings'!AO94</f>
        <v>477976.16666666669</v>
      </c>
      <c r="P33" s="2">
        <f t="shared" ref="P33:P45" si="2">SUM(C33:N33)</f>
        <v>5735714.0000000009</v>
      </c>
    </row>
    <row r="34" spans="1:16" ht="13" x14ac:dyDescent="0.3">
      <c r="B34" t="s">
        <v>26</v>
      </c>
      <c r="C34" s="13">
        <f>'P_L Workings'!AD95</f>
        <v>20833.333333333332</v>
      </c>
      <c r="D34" s="13">
        <f>'P_L Workings'!AE95</f>
        <v>20833.333333333332</v>
      </c>
      <c r="E34" s="13">
        <f>'P_L Workings'!AF95</f>
        <v>20833.333333333332</v>
      </c>
      <c r="F34" s="13">
        <f>'P_L Workings'!AG95</f>
        <v>20833.333333333332</v>
      </c>
      <c r="G34" s="13">
        <f>'P_L Workings'!AH95</f>
        <v>20833.333333333332</v>
      </c>
      <c r="H34" s="13">
        <f>'P_L Workings'!AI95</f>
        <v>20833.333333333332</v>
      </c>
      <c r="I34" s="13">
        <f>'P_L Workings'!AJ95</f>
        <v>20833.333333333332</v>
      </c>
      <c r="J34" s="13">
        <f>'P_L Workings'!AK95</f>
        <v>20833.333333333332</v>
      </c>
      <c r="K34" s="13">
        <f>'P_L Workings'!AL95</f>
        <v>20833.333333333332</v>
      </c>
      <c r="L34" s="13">
        <f>'P_L Workings'!AM95</f>
        <v>20833.333333333332</v>
      </c>
      <c r="M34" s="13">
        <f>'P_L Workings'!AN95</f>
        <v>20833.333333333332</v>
      </c>
      <c r="N34" s="13">
        <f>'P_L Workings'!AO95</f>
        <v>20833.333333333332</v>
      </c>
      <c r="P34" s="2">
        <f t="shared" si="2"/>
        <v>250000.00000000003</v>
      </c>
    </row>
    <row r="35" spans="1:16" ht="13" x14ac:dyDescent="0.3">
      <c r="B35" t="s">
        <v>27</v>
      </c>
      <c r="C35" s="13">
        <f>'P_L Workings'!AD102</f>
        <v>255296.86000000002</v>
      </c>
      <c r="D35" s="13">
        <f>'P_L Workings'!AE102</f>
        <v>272903.53999999998</v>
      </c>
      <c r="E35" s="13">
        <f>'P_L Workings'!AF102</f>
        <v>264100.2</v>
      </c>
      <c r="F35" s="13">
        <f>'P_L Workings'!AG102</f>
        <v>272903.53999999998</v>
      </c>
      <c r="G35" s="13">
        <f>'P_L Workings'!AH102</f>
        <v>272903.53999999998</v>
      </c>
      <c r="H35" s="13">
        <f>'P_L Workings'!AI102</f>
        <v>264100.2</v>
      </c>
      <c r="I35" s="13">
        <f>'P_L Workings'!AJ102</f>
        <v>272903.53999999998</v>
      </c>
      <c r="J35" s="13">
        <f>'P_L Workings'!AK102</f>
        <v>255296.86000000002</v>
      </c>
      <c r="K35" s="13">
        <f>'P_L Workings'!AL102</f>
        <v>272903.53999999998</v>
      </c>
      <c r="L35" s="13">
        <f>'P_L Workings'!AM102</f>
        <v>167263.46</v>
      </c>
      <c r="M35" s="13">
        <f>'P_L Workings'!AN102</f>
        <v>237690.18</v>
      </c>
      <c r="N35" s="13">
        <f>'P_L Workings'!AO102</f>
        <v>272903.53999999998</v>
      </c>
      <c r="P35" s="2">
        <f t="shared" si="2"/>
        <v>3081169.0000000005</v>
      </c>
    </row>
    <row r="36" spans="1:16" ht="13" x14ac:dyDescent="0.3">
      <c r="B36" t="s">
        <v>28</v>
      </c>
      <c r="C36" s="13">
        <f>'P_L Workings'!AD104</f>
        <v>14583.333333333334</v>
      </c>
      <c r="D36" s="13">
        <f>'P_L Workings'!AE104</f>
        <v>14583.333333333334</v>
      </c>
      <c r="E36" s="13">
        <f>'P_L Workings'!AF104</f>
        <v>14583.333333333334</v>
      </c>
      <c r="F36" s="13">
        <f>'P_L Workings'!AG104</f>
        <v>14583.333333333334</v>
      </c>
      <c r="G36" s="13">
        <f>'P_L Workings'!AH104</f>
        <v>14583.333333333334</v>
      </c>
      <c r="H36" s="13">
        <f>'P_L Workings'!AI104</f>
        <v>14583.333333333334</v>
      </c>
      <c r="I36" s="13">
        <f>'P_L Workings'!AJ104</f>
        <v>14583.333333333334</v>
      </c>
      <c r="J36" s="13">
        <f>'P_L Workings'!AK104</f>
        <v>14583.333333333334</v>
      </c>
      <c r="K36" s="13">
        <f>'P_L Workings'!AL104</f>
        <v>14583.333333333334</v>
      </c>
      <c r="L36" s="13">
        <f>'P_L Workings'!AM104</f>
        <v>14583.333333333334</v>
      </c>
      <c r="M36" s="13">
        <f>'P_L Workings'!AN104</f>
        <v>14583.333333333334</v>
      </c>
      <c r="N36" s="13">
        <f>'P_L Workings'!AO104</f>
        <v>14583.333333333334</v>
      </c>
      <c r="P36" s="2">
        <f t="shared" si="2"/>
        <v>175000.00000000003</v>
      </c>
    </row>
    <row r="37" spans="1:16" ht="13" x14ac:dyDescent="0.3">
      <c r="B37" t="s">
        <v>29</v>
      </c>
      <c r="C37" s="13">
        <f>'P_L Workings'!AD108</f>
        <v>3728.5714285714289</v>
      </c>
      <c r="D37" s="13">
        <f>'P_L Workings'!AE108</f>
        <v>3985.7142857142862</v>
      </c>
      <c r="E37" s="13">
        <f>'P_L Workings'!AF108</f>
        <v>3857.1428571428573</v>
      </c>
      <c r="F37" s="13">
        <f>'P_L Workings'!AG108</f>
        <v>3985.7142857142862</v>
      </c>
      <c r="G37" s="13">
        <f>'P_L Workings'!AH108</f>
        <v>3985.7142857142862</v>
      </c>
      <c r="H37" s="13">
        <f>'P_L Workings'!AI108</f>
        <v>3857.1428571428573</v>
      </c>
      <c r="I37" s="13">
        <f>'P_L Workings'!AJ108</f>
        <v>3985.7142857142862</v>
      </c>
      <c r="J37" s="13">
        <f>'P_L Workings'!AK108</f>
        <v>3728.5714285714289</v>
      </c>
      <c r="K37" s="13">
        <f>'P_L Workings'!AL108</f>
        <v>3985.7142857142862</v>
      </c>
      <c r="L37" s="13">
        <f>'P_L Workings'!AM108</f>
        <v>2442.8571428571431</v>
      </c>
      <c r="M37" s="13">
        <f>'P_L Workings'!AN108</f>
        <v>3471.4285714285716</v>
      </c>
      <c r="N37" s="13">
        <f>'P_L Workings'!AO108</f>
        <v>3985.7142857142862</v>
      </c>
      <c r="P37" s="2">
        <f t="shared" si="2"/>
        <v>45000</v>
      </c>
    </row>
    <row r="38" spans="1:16" ht="13" x14ac:dyDescent="0.3">
      <c r="B38" t="s">
        <v>30</v>
      </c>
      <c r="C38" s="13">
        <f>'P_L Workings'!AD113</f>
        <v>29828.571428571431</v>
      </c>
      <c r="D38" s="13">
        <f>'P_L Workings'!AE113</f>
        <v>31885.71428571429</v>
      </c>
      <c r="E38" s="13">
        <f>'P_L Workings'!AF113</f>
        <v>30857.142857142859</v>
      </c>
      <c r="F38" s="13">
        <f>'P_L Workings'!AG113</f>
        <v>31885.71428571429</v>
      </c>
      <c r="G38" s="13">
        <f>'P_L Workings'!AH113</f>
        <v>31885.71428571429</v>
      </c>
      <c r="H38" s="13">
        <f>'P_L Workings'!AI113</f>
        <v>30857.142857142859</v>
      </c>
      <c r="I38" s="13">
        <f>'P_L Workings'!AJ113</f>
        <v>31885.71428571429</v>
      </c>
      <c r="J38" s="13">
        <f>'P_L Workings'!AK113</f>
        <v>29828.571428571431</v>
      </c>
      <c r="K38" s="13">
        <f>'P_L Workings'!AL113</f>
        <v>31885.71428571429</v>
      </c>
      <c r="L38" s="13">
        <f>'P_L Workings'!AM113</f>
        <v>19542.857142857145</v>
      </c>
      <c r="M38" s="13">
        <f>'P_L Workings'!AN113</f>
        <v>27771.428571428572</v>
      </c>
      <c r="N38" s="13">
        <f>'P_L Workings'!AO113</f>
        <v>31885.71428571429</v>
      </c>
      <c r="P38" s="2">
        <f t="shared" si="2"/>
        <v>360000</v>
      </c>
    </row>
    <row r="39" spans="1:16" ht="13" x14ac:dyDescent="0.3">
      <c r="B39" t="s">
        <v>31</v>
      </c>
      <c r="C39" s="13">
        <f>'P_L Workings'!AD118</f>
        <v>111857.14285714287</v>
      </c>
      <c r="D39" s="13">
        <f>'P_L Workings'!AE118</f>
        <v>119571.42857142858</v>
      </c>
      <c r="E39" s="13">
        <f>'P_L Workings'!AF118</f>
        <v>115714.28571428572</v>
      </c>
      <c r="F39" s="13">
        <f>'P_L Workings'!AG118</f>
        <v>119571.42857142858</v>
      </c>
      <c r="G39" s="13">
        <f>'P_L Workings'!AH118</f>
        <v>119571.42857142858</v>
      </c>
      <c r="H39" s="13">
        <f>'P_L Workings'!AI118</f>
        <v>115714.28571428572</v>
      </c>
      <c r="I39" s="13">
        <f>'P_L Workings'!AJ118</f>
        <v>119571.42857142858</v>
      </c>
      <c r="J39" s="13">
        <f>'P_L Workings'!AK118</f>
        <v>111857.14285714287</v>
      </c>
      <c r="K39" s="13">
        <f>'P_L Workings'!AL118</f>
        <v>119571.42857142858</v>
      </c>
      <c r="L39" s="13">
        <f>'P_L Workings'!AM118</f>
        <v>73285.71428571429</v>
      </c>
      <c r="M39" s="13">
        <f>'P_L Workings'!AN118</f>
        <v>104142.85714285714</v>
      </c>
      <c r="N39" s="13">
        <f>'P_L Workings'!AO118</f>
        <v>119571.42857142858</v>
      </c>
      <c r="P39" s="2">
        <f t="shared" si="2"/>
        <v>1350000</v>
      </c>
    </row>
    <row r="40" spans="1:16" ht="13" x14ac:dyDescent="0.3">
      <c r="B40" t="s">
        <v>32</v>
      </c>
      <c r="C40" s="13">
        <f>'P_L Workings'!AD120</f>
        <v>5000</v>
      </c>
      <c r="D40" s="13">
        <f>'P_L Workings'!AE120</f>
        <v>5000</v>
      </c>
      <c r="E40" s="13">
        <f>'P_L Workings'!AF120</f>
        <v>5000</v>
      </c>
      <c r="F40" s="13">
        <f>'P_L Workings'!AG120</f>
        <v>5000</v>
      </c>
      <c r="G40" s="13">
        <f>'P_L Workings'!AH120</f>
        <v>5000</v>
      </c>
      <c r="H40" s="13">
        <f>'P_L Workings'!AI120</f>
        <v>5000</v>
      </c>
      <c r="I40" s="13">
        <f>'P_L Workings'!AJ120</f>
        <v>5000</v>
      </c>
      <c r="J40" s="13">
        <f>'P_L Workings'!AK120</f>
        <v>5000</v>
      </c>
      <c r="K40" s="13">
        <f>'P_L Workings'!AL120</f>
        <v>5000</v>
      </c>
      <c r="L40" s="13">
        <f>'P_L Workings'!AM120</f>
        <v>5000</v>
      </c>
      <c r="M40" s="13">
        <f>'P_L Workings'!AN120</f>
        <v>5000</v>
      </c>
      <c r="N40" s="13">
        <f>'P_L Workings'!AO120</f>
        <v>5000</v>
      </c>
      <c r="P40" s="2">
        <f t="shared" si="2"/>
        <v>60000</v>
      </c>
    </row>
    <row r="41" spans="1:16" ht="13" x14ac:dyDescent="0.3">
      <c r="B41" t="s">
        <v>33</v>
      </c>
      <c r="C41" s="13">
        <f>'P_L Workings'!AD121</f>
        <v>8000</v>
      </c>
      <c r="D41" s="13">
        <f>'P_L Workings'!AE121</f>
        <v>8000</v>
      </c>
      <c r="E41" s="13">
        <f>'P_L Workings'!AF121</f>
        <v>8000</v>
      </c>
      <c r="F41" s="13">
        <f>'P_L Workings'!AG121</f>
        <v>8000</v>
      </c>
      <c r="G41" s="13">
        <f>'P_L Workings'!AH121</f>
        <v>8000</v>
      </c>
      <c r="H41" s="13">
        <f>'P_L Workings'!AI121</f>
        <v>8000</v>
      </c>
      <c r="I41" s="13">
        <f>'P_L Workings'!AJ121</f>
        <v>8000</v>
      </c>
      <c r="J41" s="13">
        <f>'P_L Workings'!AK121</f>
        <v>8000</v>
      </c>
      <c r="K41" s="13">
        <f>'P_L Workings'!AL121</f>
        <v>8000</v>
      </c>
      <c r="L41" s="13">
        <f>'P_L Workings'!AM121</f>
        <v>8000</v>
      </c>
      <c r="M41" s="13">
        <f>'P_L Workings'!AN121</f>
        <v>8000</v>
      </c>
      <c r="N41" s="13">
        <f>'P_L Workings'!AO121</f>
        <v>8000</v>
      </c>
      <c r="P41" s="2">
        <f t="shared" si="2"/>
        <v>96000</v>
      </c>
    </row>
    <row r="42" spans="1:16" ht="13" x14ac:dyDescent="0.3">
      <c r="B42" t="s">
        <v>34</v>
      </c>
      <c r="C42" s="13">
        <f>'P_L Workings'!AD125</f>
        <v>53857.142857142855</v>
      </c>
      <c r="D42" s="13">
        <f>'P_L Workings'!AE125</f>
        <v>57571.428571428572</v>
      </c>
      <c r="E42" s="13">
        <f>'P_L Workings'!AF125</f>
        <v>55714.28571428571</v>
      </c>
      <c r="F42" s="13">
        <f>'P_L Workings'!AG125</f>
        <v>57571.428571428572</v>
      </c>
      <c r="G42" s="13">
        <f>'P_L Workings'!AH125</f>
        <v>57571.428571428572</v>
      </c>
      <c r="H42" s="13">
        <f>'P_L Workings'!AI125</f>
        <v>55714.28571428571</v>
      </c>
      <c r="I42" s="13">
        <f>'P_L Workings'!AJ125</f>
        <v>57571.428571428572</v>
      </c>
      <c r="J42" s="13">
        <f>'P_L Workings'!AK125</f>
        <v>53857.142857142855</v>
      </c>
      <c r="K42" s="13">
        <f>'P_L Workings'!AL125</f>
        <v>57571.428571428572</v>
      </c>
      <c r="L42" s="13">
        <f>'P_L Workings'!AM125</f>
        <v>35285.714285714283</v>
      </c>
      <c r="M42" s="13">
        <f>'P_L Workings'!AN125</f>
        <v>50142.857142857145</v>
      </c>
      <c r="N42" s="13">
        <f>'P_L Workings'!AO125</f>
        <v>57571.428571428572</v>
      </c>
      <c r="P42" s="2">
        <f t="shared" si="2"/>
        <v>650000</v>
      </c>
    </row>
    <row r="43" spans="1:16" ht="13" x14ac:dyDescent="0.3">
      <c r="B43" t="s">
        <v>35</v>
      </c>
      <c r="C43" s="13">
        <f>'P_L Workings'!AD130</f>
        <v>198857.14285714284</v>
      </c>
      <c r="D43" s="13">
        <f>'P_L Workings'!AE130</f>
        <v>212571.42857142855</v>
      </c>
      <c r="E43" s="13">
        <f>'P_L Workings'!AF130</f>
        <v>205714.28571428571</v>
      </c>
      <c r="F43" s="13">
        <f>'P_L Workings'!AG130</f>
        <v>212571.42857142855</v>
      </c>
      <c r="G43" s="13">
        <f>'P_L Workings'!AH130</f>
        <v>212571.42857142855</v>
      </c>
      <c r="H43" s="13">
        <f>'P_L Workings'!AI130</f>
        <v>205714.28571428571</v>
      </c>
      <c r="I43" s="13">
        <f>'P_L Workings'!AJ130</f>
        <v>212571.42857142855</v>
      </c>
      <c r="J43" s="13">
        <f>'P_L Workings'!AK130</f>
        <v>198857.14285714284</v>
      </c>
      <c r="K43" s="13">
        <f>'P_L Workings'!AL130</f>
        <v>212571.42857142855</v>
      </c>
      <c r="L43" s="13">
        <f>'P_L Workings'!AM130</f>
        <v>130285.71428571428</v>
      </c>
      <c r="M43" s="13">
        <f>'P_L Workings'!AN130</f>
        <v>185142.85714285713</v>
      </c>
      <c r="N43" s="13">
        <f>'P_L Workings'!AO130</f>
        <v>212571.42857142855</v>
      </c>
      <c r="P43" s="2">
        <f t="shared" si="2"/>
        <v>2400000</v>
      </c>
    </row>
    <row r="44" spans="1:16" ht="13" x14ac:dyDescent="0.3">
      <c r="B44" t="s">
        <v>36</v>
      </c>
      <c r="C44" s="13">
        <f>'P_L Workings'!AD135</f>
        <v>32314.285714285714</v>
      </c>
      <c r="D44" s="13">
        <f>'P_L Workings'!AE135</f>
        <v>34542.857142857138</v>
      </c>
      <c r="E44" s="13">
        <f>'P_L Workings'!AF135</f>
        <v>33428.571428571428</v>
      </c>
      <c r="F44" s="13">
        <f>'P_L Workings'!AG135</f>
        <v>34542.857142857138</v>
      </c>
      <c r="G44" s="13">
        <f>'P_L Workings'!AH135</f>
        <v>34542.857142857138</v>
      </c>
      <c r="H44" s="13">
        <f>'P_L Workings'!AI135</f>
        <v>33428.571428571428</v>
      </c>
      <c r="I44" s="13">
        <f>'P_L Workings'!AJ135</f>
        <v>34542.857142857138</v>
      </c>
      <c r="J44" s="13">
        <f>'P_L Workings'!AK135</f>
        <v>32314.285714285714</v>
      </c>
      <c r="K44" s="13">
        <f>'P_L Workings'!AL135</f>
        <v>34542.857142857138</v>
      </c>
      <c r="L44" s="13">
        <f>'P_L Workings'!AM135</f>
        <v>21171.428571428569</v>
      </c>
      <c r="M44" s="13">
        <f>'P_L Workings'!AN135</f>
        <v>30085.714285714283</v>
      </c>
      <c r="N44" s="13">
        <f>'P_L Workings'!AO135</f>
        <v>34542.857142857138</v>
      </c>
      <c r="P44" s="2">
        <f t="shared" si="2"/>
        <v>390000</v>
      </c>
    </row>
    <row r="45" spans="1:16" ht="13" x14ac:dyDescent="0.3">
      <c r="B45" t="s">
        <v>37</v>
      </c>
      <c r="C45" s="13">
        <f>'P_L Workings'!AD140</f>
        <v>24857.142857142855</v>
      </c>
      <c r="D45" s="13">
        <f>'P_L Workings'!AE140</f>
        <v>26571.428571428569</v>
      </c>
      <c r="E45" s="13">
        <f>'P_L Workings'!AF140</f>
        <v>25714.285714285714</v>
      </c>
      <c r="F45" s="13">
        <f>'P_L Workings'!AG140</f>
        <v>26571.428571428569</v>
      </c>
      <c r="G45" s="13">
        <f>'P_L Workings'!AH140</f>
        <v>26571.428571428569</v>
      </c>
      <c r="H45" s="13">
        <f>'P_L Workings'!AI140</f>
        <v>25714.285714285714</v>
      </c>
      <c r="I45" s="13">
        <f>'P_L Workings'!AJ140</f>
        <v>26571.428571428569</v>
      </c>
      <c r="J45" s="13">
        <f>'P_L Workings'!AK140</f>
        <v>24857.142857142855</v>
      </c>
      <c r="K45" s="13">
        <f>'P_L Workings'!AL140</f>
        <v>26571.428571428569</v>
      </c>
      <c r="L45" s="13">
        <f>'P_L Workings'!AM140</f>
        <v>16285.714285714284</v>
      </c>
      <c r="M45" s="13">
        <f>'P_L Workings'!AN140</f>
        <v>23142.857142857141</v>
      </c>
      <c r="N45" s="13">
        <f>'P_L Workings'!AO140</f>
        <v>26571.428571428569</v>
      </c>
      <c r="P45" s="2">
        <f t="shared" si="2"/>
        <v>300000</v>
      </c>
    </row>
    <row r="46" spans="1:16" ht="14" x14ac:dyDescent="0.3">
      <c r="B46" s="19" t="s">
        <v>3</v>
      </c>
      <c r="C46" s="15">
        <f t="shared" ref="C46:N46" si="3">SUM(C33:C45)</f>
        <v>1236989.6933333334</v>
      </c>
      <c r="D46" s="15">
        <f t="shared" si="3"/>
        <v>1285996.3733333333</v>
      </c>
      <c r="E46" s="15">
        <f t="shared" si="3"/>
        <v>1261493.0333333332</v>
      </c>
      <c r="F46" s="15">
        <f t="shared" si="3"/>
        <v>1285996.3733333333</v>
      </c>
      <c r="G46" s="15">
        <f t="shared" si="3"/>
        <v>1285996.3733333333</v>
      </c>
      <c r="H46" s="15">
        <f t="shared" si="3"/>
        <v>1261493.0333333332</v>
      </c>
      <c r="I46" s="15">
        <f t="shared" si="3"/>
        <v>1285996.3733333333</v>
      </c>
      <c r="J46" s="15">
        <f t="shared" si="3"/>
        <v>1236989.6933333334</v>
      </c>
      <c r="K46" s="15">
        <f t="shared" si="3"/>
        <v>1285996.3733333333</v>
      </c>
      <c r="L46" s="15">
        <f t="shared" si="3"/>
        <v>991956.29333333345</v>
      </c>
      <c r="M46" s="15">
        <f t="shared" si="3"/>
        <v>1187983.0133333332</v>
      </c>
      <c r="N46" s="15">
        <f t="shared" si="3"/>
        <v>1285996.3733333333</v>
      </c>
      <c r="P46" s="15">
        <f>SUM(P33:P45)</f>
        <v>14892883.000000002</v>
      </c>
    </row>
    <row r="47" spans="1:16" ht="6" customHeight="1" x14ac:dyDescent="0.3"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P47" s="3"/>
    </row>
    <row r="48" spans="1:16" ht="15.5" x14ac:dyDescent="0.35">
      <c r="A48" s="17" t="s">
        <v>38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P48" s="3"/>
    </row>
    <row r="49" spans="1:16" ht="13" x14ac:dyDescent="0.3">
      <c r="B49" t="s">
        <v>39</v>
      </c>
      <c r="C49" s="13">
        <f>'P_L Workings'!AD145</f>
        <v>10000</v>
      </c>
      <c r="D49" s="13">
        <f>'P_L Workings'!AE145</f>
        <v>10000</v>
      </c>
      <c r="E49" s="13">
        <f>'P_L Workings'!AF145</f>
        <v>10000</v>
      </c>
      <c r="F49" s="13">
        <f>'P_L Workings'!AG145</f>
        <v>10000</v>
      </c>
      <c r="G49" s="13">
        <f>'P_L Workings'!AH145</f>
        <v>10000</v>
      </c>
      <c r="H49" s="13">
        <f>'P_L Workings'!AI145</f>
        <v>10000</v>
      </c>
      <c r="I49" s="13">
        <f>'P_L Workings'!AJ145</f>
        <v>10000</v>
      </c>
      <c r="J49" s="13">
        <f>'P_L Workings'!AK145</f>
        <v>10000</v>
      </c>
      <c r="K49" s="13">
        <f>'P_L Workings'!AL145</f>
        <v>10000</v>
      </c>
      <c r="L49" s="13">
        <f>'P_L Workings'!AM145</f>
        <v>10000</v>
      </c>
      <c r="M49" s="13">
        <f>'P_L Workings'!AN145</f>
        <v>10000</v>
      </c>
      <c r="N49" s="13">
        <f>'P_L Workings'!AO145</f>
        <v>10000</v>
      </c>
      <c r="P49" s="2">
        <f>SUM(C49:N49)</f>
        <v>120000</v>
      </c>
    </row>
    <row r="50" spans="1:16" ht="13" x14ac:dyDescent="0.3">
      <c r="B50" t="s">
        <v>40</v>
      </c>
      <c r="C50" s="13">
        <f>'P_L Workings'!AD146</f>
        <v>6250</v>
      </c>
      <c r="D50" s="13">
        <f>'P_L Workings'!AE146</f>
        <v>6250</v>
      </c>
      <c r="E50" s="13">
        <f>'P_L Workings'!AF146</f>
        <v>6250</v>
      </c>
      <c r="F50" s="13">
        <f>'P_L Workings'!AG146</f>
        <v>6250</v>
      </c>
      <c r="G50" s="13">
        <f>'P_L Workings'!AH146</f>
        <v>6250</v>
      </c>
      <c r="H50" s="13">
        <f>'P_L Workings'!AI146</f>
        <v>6250</v>
      </c>
      <c r="I50" s="13">
        <f>'P_L Workings'!AJ146</f>
        <v>6250</v>
      </c>
      <c r="J50" s="13">
        <f>'P_L Workings'!AK146</f>
        <v>6250</v>
      </c>
      <c r="K50" s="13">
        <f>'P_L Workings'!AL146</f>
        <v>6250</v>
      </c>
      <c r="L50" s="13">
        <f>'P_L Workings'!AM146</f>
        <v>6250</v>
      </c>
      <c r="M50" s="13">
        <f>'P_L Workings'!AN146</f>
        <v>6250</v>
      </c>
      <c r="N50" s="13">
        <f>'P_L Workings'!AO146</f>
        <v>6250</v>
      </c>
      <c r="P50" s="2">
        <f>SUM(C50:N50)</f>
        <v>75000</v>
      </c>
    </row>
    <row r="51" spans="1:16" ht="13" x14ac:dyDescent="0.3">
      <c r="B51" t="s">
        <v>41</v>
      </c>
      <c r="C51" s="13">
        <f>'P_L Workings'!AD147</f>
        <v>4166.666666666667</v>
      </c>
      <c r="D51" s="13">
        <f>'P_L Workings'!AE147</f>
        <v>4166.666666666667</v>
      </c>
      <c r="E51" s="13">
        <f>'P_L Workings'!AF147</f>
        <v>4166.666666666667</v>
      </c>
      <c r="F51" s="13">
        <f>'P_L Workings'!AG147</f>
        <v>4166.666666666667</v>
      </c>
      <c r="G51" s="13">
        <f>'P_L Workings'!AH147</f>
        <v>4166.666666666667</v>
      </c>
      <c r="H51" s="13">
        <f>'P_L Workings'!AI147</f>
        <v>4166.666666666667</v>
      </c>
      <c r="I51" s="13">
        <f>'P_L Workings'!AJ147</f>
        <v>4166.666666666667</v>
      </c>
      <c r="J51" s="13">
        <f>'P_L Workings'!AK147</f>
        <v>4166.666666666667</v>
      </c>
      <c r="K51" s="13">
        <f>'P_L Workings'!AL147</f>
        <v>4166.666666666667</v>
      </c>
      <c r="L51" s="13">
        <f>'P_L Workings'!AM147</f>
        <v>4166.666666666667</v>
      </c>
      <c r="M51" s="13">
        <f>'P_L Workings'!AN147</f>
        <v>4166.666666666667</v>
      </c>
      <c r="N51" s="13">
        <f>'P_L Workings'!AO147</f>
        <v>4166.666666666667</v>
      </c>
      <c r="P51" s="2">
        <f>SUM(C51:N51)</f>
        <v>49999.999999999993</v>
      </c>
    </row>
    <row r="52" spans="1:16" ht="13" x14ac:dyDescent="0.3">
      <c r="B52" t="s">
        <v>42</v>
      </c>
      <c r="C52" s="13">
        <f>'P_L Workings'!AD148</f>
        <v>8333.3333333333339</v>
      </c>
      <c r="D52" s="13">
        <f>'P_L Workings'!AE148</f>
        <v>8333.3333333333339</v>
      </c>
      <c r="E52" s="13">
        <f>'P_L Workings'!AF148</f>
        <v>8333.3333333333339</v>
      </c>
      <c r="F52" s="13">
        <f>'P_L Workings'!AG148</f>
        <v>8333.3333333333339</v>
      </c>
      <c r="G52" s="13">
        <f>'P_L Workings'!AH148</f>
        <v>8333.3333333333339</v>
      </c>
      <c r="H52" s="13">
        <f>'P_L Workings'!AI148</f>
        <v>8333.3333333333339</v>
      </c>
      <c r="I52" s="13">
        <f>'P_L Workings'!AJ148</f>
        <v>8333.3333333333339</v>
      </c>
      <c r="J52" s="13">
        <f>'P_L Workings'!AK148</f>
        <v>8333.3333333333339</v>
      </c>
      <c r="K52" s="13">
        <f>'P_L Workings'!AL148</f>
        <v>8333.3333333333339</v>
      </c>
      <c r="L52" s="13">
        <f>'P_L Workings'!AM148</f>
        <v>8333.3333333333339</v>
      </c>
      <c r="M52" s="13">
        <f>'P_L Workings'!AN148</f>
        <v>8333.3333333333339</v>
      </c>
      <c r="N52" s="13">
        <f>'P_L Workings'!AO148</f>
        <v>8333.3333333333339</v>
      </c>
      <c r="P52" s="2">
        <f>SUM(C52:N52)</f>
        <v>99999.999999999985</v>
      </c>
    </row>
    <row r="53" spans="1:16" ht="14" x14ac:dyDescent="0.3">
      <c r="B53" s="19" t="s">
        <v>3</v>
      </c>
      <c r="C53" s="15">
        <f t="shared" ref="C53:N53" si="4">SUM(C49:C52)</f>
        <v>28750</v>
      </c>
      <c r="D53" s="15">
        <f t="shared" si="4"/>
        <v>28750</v>
      </c>
      <c r="E53" s="15">
        <f t="shared" si="4"/>
        <v>28750</v>
      </c>
      <c r="F53" s="15">
        <f t="shared" si="4"/>
        <v>28750</v>
      </c>
      <c r="G53" s="15">
        <f t="shared" si="4"/>
        <v>28750</v>
      </c>
      <c r="H53" s="15">
        <f t="shared" si="4"/>
        <v>28750</v>
      </c>
      <c r="I53" s="15">
        <f t="shared" si="4"/>
        <v>28750</v>
      </c>
      <c r="J53" s="15">
        <f t="shared" si="4"/>
        <v>28750</v>
      </c>
      <c r="K53" s="15">
        <f t="shared" si="4"/>
        <v>28750</v>
      </c>
      <c r="L53" s="15">
        <f t="shared" si="4"/>
        <v>28750</v>
      </c>
      <c r="M53" s="15">
        <f t="shared" si="4"/>
        <v>28750</v>
      </c>
      <c r="N53" s="15">
        <f t="shared" si="4"/>
        <v>28750</v>
      </c>
      <c r="P53" s="15">
        <f>SUM(P49:P52)</f>
        <v>345000</v>
      </c>
    </row>
    <row r="54" spans="1:16" ht="6" customHeight="1" x14ac:dyDescent="0.3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P54" s="3"/>
    </row>
    <row r="55" spans="1:16" ht="15.5" x14ac:dyDescent="0.35">
      <c r="A55" s="17" t="s">
        <v>43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P55" s="3"/>
    </row>
    <row r="56" spans="1:16" ht="13" x14ac:dyDescent="0.3">
      <c r="B56" t="s">
        <v>44</v>
      </c>
      <c r="C56" s="13">
        <f>'P_L Workings'!AD152</f>
        <v>23750</v>
      </c>
      <c r="D56" s="13">
        <f>'P_L Workings'!AE152</f>
        <v>23750</v>
      </c>
      <c r="E56" s="13">
        <f>'P_L Workings'!AF152</f>
        <v>23750</v>
      </c>
      <c r="F56" s="13">
        <f>'P_L Workings'!AG152</f>
        <v>23750</v>
      </c>
      <c r="G56" s="13">
        <f>'P_L Workings'!AH152</f>
        <v>23750</v>
      </c>
      <c r="H56" s="13">
        <f>'P_L Workings'!AI152</f>
        <v>23750</v>
      </c>
      <c r="I56" s="13">
        <f>'P_L Workings'!AJ152</f>
        <v>23750</v>
      </c>
      <c r="J56" s="13">
        <f>'P_L Workings'!AK152</f>
        <v>23750</v>
      </c>
      <c r="K56" s="13">
        <f>'P_L Workings'!AL152</f>
        <v>23750</v>
      </c>
      <c r="L56" s="13">
        <f>'P_L Workings'!AM152</f>
        <v>23750</v>
      </c>
      <c r="M56" s="13">
        <f>'P_L Workings'!AN152</f>
        <v>23750</v>
      </c>
      <c r="N56" s="13">
        <f>'P_L Workings'!AO152</f>
        <v>23750</v>
      </c>
      <c r="P56" s="2">
        <f>SUM(C56:N56)</f>
        <v>285000</v>
      </c>
    </row>
    <row r="57" spans="1:16" ht="13" x14ac:dyDescent="0.3">
      <c r="B57" t="s">
        <v>45</v>
      </c>
      <c r="C57" s="13">
        <f>'P_L Workings'!AD153</f>
        <v>3375</v>
      </c>
      <c r="D57" s="13">
        <f>'P_L Workings'!AE153</f>
        <v>3375</v>
      </c>
      <c r="E57" s="13">
        <f>'P_L Workings'!AF153</f>
        <v>3375</v>
      </c>
      <c r="F57" s="13">
        <f>'P_L Workings'!AG153</f>
        <v>3375</v>
      </c>
      <c r="G57" s="13">
        <f>'P_L Workings'!AH153</f>
        <v>3375</v>
      </c>
      <c r="H57" s="13">
        <f>'P_L Workings'!AI153</f>
        <v>3375</v>
      </c>
      <c r="I57" s="13">
        <f>'P_L Workings'!AJ153</f>
        <v>3375</v>
      </c>
      <c r="J57" s="13">
        <f>'P_L Workings'!AK153</f>
        <v>3375</v>
      </c>
      <c r="K57" s="13">
        <f>'P_L Workings'!AL153</f>
        <v>3375</v>
      </c>
      <c r="L57" s="13">
        <f>'P_L Workings'!AM153</f>
        <v>3375</v>
      </c>
      <c r="M57" s="13">
        <f>'P_L Workings'!AN153</f>
        <v>3375</v>
      </c>
      <c r="N57" s="13">
        <f>'P_L Workings'!AO153</f>
        <v>3375</v>
      </c>
      <c r="P57" s="2">
        <f>SUM(C57:N57)</f>
        <v>40500</v>
      </c>
    </row>
    <row r="58" spans="1:16" ht="13" x14ac:dyDescent="0.3">
      <c r="B58" t="s">
        <v>46</v>
      </c>
      <c r="C58" s="13">
        <f>'P_L Workings'!AD154</f>
        <v>20833.333333333332</v>
      </c>
      <c r="D58" s="13">
        <f>'P_L Workings'!AE154</f>
        <v>20833.333333333332</v>
      </c>
      <c r="E58" s="13">
        <f>'P_L Workings'!AF154</f>
        <v>20833.333333333332</v>
      </c>
      <c r="F58" s="13">
        <f>'P_L Workings'!AG154</f>
        <v>20833.333333333332</v>
      </c>
      <c r="G58" s="13">
        <f>'P_L Workings'!AH154</f>
        <v>20833.333333333332</v>
      </c>
      <c r="H58" s="13">
        <f>'P_L Workings'!AI154</f>
        <v>20833.333333333332</v>
      </c>
      <c r="I58" s="13">
        <f>'P_L Workings'!AJ154</f>
        <v>20833.333333333332</v>
      </c>
      <c r="J58" s="13">
        <f>'P_L Workings'!AK154</f>
        <v>20833.333333333332</v>
      </c>
      <c r="K58" s="13">
        <f>'P_L Workings'!AL154</f>
        <v>20833.333333333332</v>
      </c>
      <c r="L58" s="13">
        <f>'P_L Workings'!AM154</f>
        <v>20833.333333333332</v>
      </c>
      <c r="M58" s="13">
        <f>'P_L Workings'!AN154</f>
        <v>20833.333333333332</v>
      </c>
      <c r="N58" s="13">
        <f>'P_L Workings'!AO154</f>
        <v>20833.333333333332</v>
      </c>
      <c r="P58" s="2">
        <f>SUM(C58:N58)</f>
        <v>250000.00000000003</v>
      </c>
    </row>
    <row r="59" spans="1:16" ht="13" x14ac:dyDescent="0.3">
      <c r="B59" t="s">
        <v>47</v>
      </c>
      <c r="C59" s="13">
        <f>'P_L Workings'!AD155</f>
        <v>5062.5</v>
      </c>
      <c r="D59" s="13">
        <f>'P_L Workings'!AE155</f>
        <v>5062.5</v>
      </c>
      <c r="E59" s="13">
        <f>'P_L Workings'!AF155</f>
        <v>5062.5</v>
      </c>
      <c r="F59" s="13">
        <f>'P_L Workings'!AG155</f>
        <v>5062.5</v>
      </c>
      <c r="G59" s="13">
        <f>'P_L Workings'!AH155</f>
        <v>5062.5</v>
      </c>
      <c r="H59" s="13">
        <f>'P_L Workings'!AI155</f>
        <v>5062.5</v>
      </c>
      <c r="I59" s="13">
        <f>'P_L Workings'!AJ155</f>
        <v>5062.5</v>
      </c>
      <c r="J59" s="13">
        <f>'P_L Workings'!AK155</f>
        <v>5062.5</v>
      </c>
      <c r="K59" s="13">
        <f>'P_L Workings'!AL155</f>
        <v>5062.5</v>
      </c>
      <c r="L59" s="13">
        <f>'P_L Workings'!AM155</f>
        <v>5062.5</v>
      </c>
      <c r="M59" s="13">
        <f>'P_L Workings'!AN155</f>
        <v>5062.5</v>
      </c>
      <c r="N59" s="13">
        <f>'P_L Workings'!AO155</f>
        <v>5062.5</v>
      </c>
      <c r="P59" s="2">
        <f>SUM(C59:N59)</f>
        <v>60750</v>
      </c>
    </row>
    <row r="60" spans="1:16" ht="13" x14ac:dyDescent="0.3">
      <c r="B60" t="s">
        <v>48</v>
      </c>
      <c r="C60" s="13">
        <f>'P_L Workings'!AD156</f>
        <v>1125</v>
      </c>
      <c r="D60" s="13">
        <f>'P_L Workings'!AE156</f>
        <v>1125</v>
      </c>
      <c r="E60" s="13">
        <f>'P_L Workings'!AF156</f>
        <v>1125</v>
      </c>
      <c r="F60" s="13">
        <f>'P_L Workings'!AG156</f>
        <v>1125</v>
      </c>
      <c r="G60" s="13">
        <f>'P_L Workings'!AH156</f>
        <v>1125</v>
      </c>
      <c r="H60" s="13">
        <f>'P_L Workings'!AI156</f>
        <v>1125</v>
      </c>
      <c r="I60" s="13">
        <f>'P_L Workings'!AJ156</f>
        <v>1125</v>
      </c>
      <c r="J60" s="13">
        <f>'P_L Workings'!AK156</f>
        <v>1125</v>
      </c>
      <c r="K60" s="13">
        <f>'P_L Workings'!AL156</f>
        <v>1125</v>
      </c>
      <c r="L60" s="13">
        <f>'P_L Workings'!AM156</f>
        <v>1125</v>
      </c>
      <c r="M60" s="13">
        <f>'P_L Workings'!AN156</f>
        <v>1125</v>
      </c>
      <c r="N60" s="13">
        <f>'P_L Workings'!AO156</f>
        <v>1125</v>
      </c>
      <c r="P60" s="2">
        <f>SUM(C60:N60)</f>
        <v>13500</v>
      </c>
    </row>
    <row r="61" spans="1:16" ht="14" x14ac:dyDescent="0.3">
      <c r="B61" s="19" t="s">
        <v>3</v>
      </c>
      <c r="C61" s="15">
        <f t="shared" ref="C61:N61" si="5">SUM(C56:C60)</f>
        <v>54145.833333333328</v>
      </c>
      <c r="D61" s="15">
        <f t="shared" si="5"/>
        <v>54145.833333333328</v>
      </c>
      <c r="E61" s="15">
        <f t="shared" si="5"/>
        <v>54145.833333333328</v>
      </c>
      <c r="F61" s="15">
        <f t="shared" si="5"/>
        <v>54145.833333333328</v>
      </c>
      <c r="G61" s="15">
        <f t="shared" si="5"/>
        <v>54145.833333333328</v>
      </c>
      <c r="H61" s="15">
        <f t="shared" si="5"/>
        <v>54145.833333333328</v>
      </c>
      <c r="I61" s="15">
        <f t="shared" si="5"/>
        <v>54145.833333333328</v>
      </c>
      <c r="J61" s="15">
        <f t="shared" si="5"/>
        <v>54145.833333333328</v>
      </c>
      <c r="K61" s="15">
        <f t="shared" si="5"/>
        <v>54145.833333333328</v>
      </c>
      <c r="L61" s="15">
        <f t="shared" si="5"/>
        <v>54145.833333333328</v>
      </c>
      <c r="M61" s="15">
        <f t="shared" si="5"/>
        <v>54145.833333333328</v>
      </c>
      <c r="N61" s="15">
        <f t="shared" si="5"/>
        <v>54145.833333333328</v>
      </c>
      <c r="P61" s="15">
        <f>SUM(P56:P60)</f>
        <v>649750</v>
      </c>
    </row>
    <row r="62" spans="1:16" ht="6" customHeight="1" x14ac:dyDescent="0.3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P62" s="3"/>
    </row>
    <row r="63" spans="1:16" ht="15.5" x14ac:dyDescent="0.35">
      <c r="A63" s="17" t="s">
        <v>49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P63" s="3"/>
    </row>
    <row r="64" spans="1:16" ht="13" x14ac:dyDescent="0.3">
      <c r="B64" t="s">
        <v>49</v>
      </c>
      <c r="C64" s="18">
        <f>'P_L Workings'!AD163</f>
        <v>66285.71428571429</v>
      </c>
      <c r="D64" s="18">
        <f>'P_L Workings'!AE163</f>
        <v>70857.142857142855</v>
      </c>
      <c r="E64" s="18">
        <f>'P_L Workings'!AF163</f>
        <v>68571.42857142858</v>
      </c>
      <c r="F64" s="18">
        <f>'P_L Workings'!AG163</f>
        <v>70857.142857142855</v>
      </c>
      <c r="G64" s="18">
        <f>'P_L Workings'!AH163</f>
        <v>70857.142857142855</v>
      </c>
      <c r="H64" s="18">
        <f>'P_L Workings'!AI163</f>
        <v>68571.42857142858</v>
      </c>
      <c r="I64" s="18">
        <f>'P_L Workings'!AJ163</f>
        <v>70857.142857142855</v>
      </c>
      <c r="J64" s="18">
        <f>'P_L Workings'!AK163</f>
        <v>66285.71428571429</v>
      </c>
      <c r="K64" s="18">
        <f>'P_L Workings'!AL163</f>
        <v>70857.142857142855</v>
      </c>
      <c r="L64" s="18">
        <f>'P_L Workings'!AM163</f>
        <v>43428.571428571428</v>
      </c>
      <c r="M64" s="18">
        <f>'P_L Workings'!AN163</f>
        <v>61714.285714285717</v>
      </c>
      <c r="N64" s="18">
        <f>'P_L Workings'!AO163</f>
        <v>70857.142857142855</v>
      </c>
      <c r="P64" s="18">
        <f>SUM(C64:N64)</f>
        <v>800000</v>
      </c>
    </row>
    <row r="65" spans="1:16" ht="14" hidden="1" x14ac:dyDescent="0.3">
      <c r="B65" s="19" t="s">
        <v>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P65" s="3"/>
    </row>
    <row r="66" spans="1:16" ht="6" customHeight="1" x14ac:dyDescent="0.3"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P66" s="3"/>
    </row>
    <row r="67" spans="1:16" ht="15.5" x14ac:dyDescent="0.35">
      <c r="A67" s="17" t="s">
        <v>50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P67" s="3"/>
    </row>
    <row r="68" spans="1:16" ht="13.5" customHeight="1" x14ac:dyDescent="0.35">
      <c r="A68" s="17"/>
      <c r="B68" t="s">
        <v>51</v>
      </c>
      <c r="C68" s="13">
        <f>'P_L Workings'!AD166</f>
        <v>222.68810289489332</v>
      </c>
      <c r="D68" s="13">
        <f>'P_L Workings'!AE166</f>
        <v>218.97663451331178</v>
      </c>
      <c r="E68" s="13">
        <f>'P_L Workings'!AF166</f>
        <v>215.32702393808992</v>
      </c>
      <c r="F68" s="13">
        <f>'P_L Workings'!AG166</f>
        <v>211.73824020578843</v>
      </c>
      <c r="G68" s="13">
        <f>'P_L Workings'!AH166</f>
        <v>208.20926953569196</v>
      </c>
      <c r="H68" s="13">
        <f>'P_L Workings'!AI166</f>
        <v>204.73911504343042</v>
      </c>
      <c r="I68" s="13">
        <f>'P_L Workings'!AJ166</f>
        <v>201.32679645937324</v>
      </c>
      <c r="J68" s="13">
        <f>'P_L Workings'!AK166</f>
        <v>197.97134985171704</v>
      </c>
      <c r="K68" s="13">
        <f>'P_L Workings'!AL166</f>
        <v>194.67182735418839</v>
      </c>
      <c r="L68" s="13">
        <f>'P_L Workings'!AM166</f>
        <v>191.42729689828528</v>
      </c>
      <c r="M68" s="13">
        <f>'P_L Workings'!AN166</f>
        <v>188.23684194998052</v>
      </c>
      <c r="N68" s="13">
        <f>'P_L Workings'!AO166</f>
        <v>185.09956125081419</v>
      </c>
      <c r="P68" s="2">
        <f>SUM(C68:N68)</f>
        <v>2440.4120598955642</v>
      </c>
    </row>
    <row r="69" spans="1:16" ht="13.5" customHeight="1" x14ac:dyDescent="0.35">
      <c r="A69" s="17"/>
      <c r="B69" t="s">
        <v>52</v>
      </c>
      <c r="C69" s="13">
        <f>P_L!AD69</f>
        <v>0</v>
      </c>
      <c r="D69" s="13">
        <f>P_L!AE69</f>
        <v>0</v>
      </c>
      <c r="E69" s="13">
        <f>P_L!AF69</f>
        <v>0</v>
      </c>
      <c r="F69" s="13">
        <f>P_L!AG69</f>
        <v>0</v>
      </c>
      <c r="G69" s="13">
        <f>P_L!AH69</f>
        <v>0</v>
      </c>
      <c r="H69" s="13">
        <f>P_L!AI69</f>
        <v>0</v>
      </c>
      <c r="I69" s="13">
        <f>P_L!AJ69</f>
        <v>0</v>
      </c>
      <c r="J69" s="13">
        <f>P_L!AK69</f>
        <v>0</v>
      </c>
      <c r="K69" s="13">
        <f>P_L!AL69</f>
        <v>0</v>
      </c>
      <c r="L69" s="13">
        <f>P_L!AM69</f>
        <v>0</v>
      </c>
      <c r="M69" s="13">
        <f>P_L!AN69</f>
        <v>0</v>
      </c>
      <c r="N69" s="13">
        <f>P_L!AO69</f>
        <v>0</v>
      </c>
      <c r="P69" s="2">
        <f>SUM(C69:N69)</f>
        <v>0</v>
      </c>
    </row>
    <row r="70" spans="1:16" ht="13" x14ac:dyDescent="0.3">
      <c r="B70" t="s">
        <v>53</v>
      </c>
      <c r="C70" s="13">
        <f>'P_L Workings'!AD168</f>
        <v>6250</v>
      </c>
      <c r="D70" s="13">
        <f>'P_L Workings'!AE168</f>
        <v>6250</v>
      </c>
      <c r="E70" s="13">
        <f>'P_L Workings'!AF168</f>
        <v>6250</v>
      </c>
      <c r="F70" s="13">
        <f>'P_L Workings'!AG168</f>
        <v>6250</v>
      </c>
      <c r="G70" s="13">
        <f>'P_L Workings'!AH168</f>
        <v>6250</v>
      </c>
      <c r="H70" s="13">
        <f>'P_L Workings'!AI168</f>
        <v>6250</v>
      </c>
      <c r="I70" s="13">
        <f>'P_L Workings'!AJ168</f>
        <v>6250</v>
      </c>
      <c r="J70" s="13">
        <f>'P_L Workings'!AK168</f>
        <v>6250</v>
      </c>
      <c r="K70" s="13">
        <f>'P_L Workings'!AL168</f>
        <v>6250</v>
      </c>
      <c r="L70" s="13">
        <f>'P_L Workings'!AM168</f>
        <v>6250</v>
      </c>
      <c r="M70" s="13">
        <f>'P_L Workings'!AN168</f>
        <v>6250</v>
      </c>
      <c r="N70" s="13">
        <f>'P_L Workings'!AO168</f>
        <v>6250</v>
      </c>
      <c r="P70" s="2">
        <f>SUM(C70:N70)</f>
        <v>75000</v>
      </c>
    </row>
    <row r="71" spans="1:16" ht="13" x14ac:dyDescent="0.3">
      <c r="B71" t="s">
        <v>54</v>
      </c>
      <c r="C71" s="13">
        <f>'P_L Workings'!AD169</f>
        <v>0</v>
      </c>
      <c r="D71" s="13">
        <f>'P_L Workings'!AE169</f>
        <v>0</v>
      </c>
      <c r="E71" s="13">
        <f>'P_L Workings'!AF169</f>
        <v>0</v>
      </c>
      <c r="F71" s="13">
        <f>'P_L Workings'!AG169</f>
        <v>0</v>
      </c>
      <c r="G71" s="13">
        <f>'P_L Workings'!AH169</f>
        <v>0</v>
      </c>
      <c r="H71" s="13">
        <f>'P_L Workings'!AI169</f>
        <v>0</v>
      </c>
      <c r="I71" s="13">
        <f>'P_L Workings'!AJ169</f>
        <v>0</v>
      </c>
      <c r="J71" s="13">
        <f>'P_L Workings'!AK169</f>
        <v>0</v>
      </c>
      <c r="K71" s="13">
        <f>'P_L Workings'!AL169</f>
        <v>0</v>
      </c>
      <c r="L71" s="13">
        <f>'P_L Workings'!AM169</f>
        <v>0</v>
      </c>
      <c r="M71" s="13">
        <f>'P_L Workings'!AN169</f>
        <v>0</v>
      </c>
      <c r="N71" s="13">
        <f>'P_L Workings'!AO169</f>
        <v>0</v>
      </c>
      <c r="P71" s="2">
        <f>SUM(C71:N71)</f>
        <v>0</v>
      </c>
    </row>
    <row r="72" spans="1:16" ht="14" x14ac:dyDescent="0.3">
      <c r="B72" s="19" t="s">
        <v>3</v>
      </c>
      <c r="C72" s="15">
        <f t="shared" ref="C72:N72" si="6">SUM(C68:C71)</f>
        <v>6472.6881028948937</v>
      </c>
      <c r="D72" s="15">
        <f t="shared" si="6"/>
        <v>6468.9766345133121</v>
      </c>
      <c r="E72" s="15">
        <f t="shared" si="6"/>
        <v>6465.32702393809</v>
      </c>
      <c r="F72" s="15">
        <f t="shared" si="6"/>
        <v>6461.7382402057883</v>
      </c>
      <c r="G72" s="15">
        <f t="shared" si="6"/>
        <v>6458.2092695356923</v>
      </c>
      <c r="H72" s="15">
        <f t="shared" si="6"/>
        <v>6454.7391150434305</v>
      </c>
      <c r="I72" s="15">
        <f t="shared" si="6"/>
        <v>6451.3267964593733</v>
      </c>
      <c r="J72" s="15">
        <f t="shared" si="6"/>
        <v>6447.9713498517167</v>
      </c>
      <c r="K72" s="15">
        <f t="shared" si="6"/>
        <v>6444.6718273541883</v>
      </c>
      <c r="L72" s="15">
        <f t="shared" si="6"/>
        <v>6441.427296898285</v>
      </c>
      <c r="M72" s="15">
        <f t="shared" si="6"/>
        <v>6438.2368419499808</v>
      </c>
      <c r="N72" s="15">
        <f t="shared" si="6"/>
        <v>6435.0995612508141</v>
      </c>
      <c r="P72" s="15">
        <f>SUM(P68:P71)</f>
        <v>77440.412059895563</v>
      </c>
    </row>
    <row r="73" spans="1:16" ht="12" customHeight="1" x14ac:dyDescent="0.3"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P73" s="3"/>
    </row>
    <row r="74" spans="1:16" ht="15.5" x14ac:dyDescent="0.35">
      <c r="A74" s="4" t="s">
        <v>55</v>
      </c>
      <c r="C74" s="15">
        <f t="shared" ref="C74:N74" si="7">C72+C64+C61+C53+C46+C29+C23</f>
        <v>1413358.2147695615</v>
      </c>
      <c r="D74" s="15">
        <f t="shared" si="7"/>
        <v>1468361.1833011799</v>
      </c>
      <c r="E74" s="15">
        <f t="shared" si="7"/>
        <v>1440854.1936906045</v>
      </c>
      <c r="F74" s="15">
        <f t="shared" si="7"/>
        <v>1468353.9449068722</v>
      </c>
      <c r="G74" s="15">
        <f t="shared" si="7"/>
        <v>1468350.4159362023</v>
      </c>
      <c r="H74" s="15">
        <f t="shared" si="7"/>
        <v>1440843.6057817098</v>
      </c>
      <c r="I74" s="15">
        <f t="shared" si="7"/>
        <v>1468343.5334631258</v>
      </c>
      <c r="J74" s="15">
        <f t="shared" si="7"/>
        <v>1413333.4980165183</v>
      </c>
      <c r="K74" s="15">
        <f t="shared" si="7"/>
        <v>1468336.8784940208</v>
      </c>
      <c r="L74" s="15">
        <f t="shared" si="7"/>
        <v>1138293.553963565</v>
      </c>
      <c r="M74" s="15">
        <f t="shared" si="7"/>
        <v>1358317.0835086165</v>
      </c>
      <c r="N74" s="15">
        <f t="shared" si="7"/>
        <v>1468327.3062279173</v>
      </c>
      <c r="P74" s="15">
        <f>P72+P64+P61+P53+P46+P29+P23</f>
        <v>17015073.412059896</v>
      </c>
    </row>
    <row r="75" spans="1:16" ht="13" x14ac:dyDescent="0.3"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P75" s="16"/>
    </row>
    <row r="76" spans="1:16" ht="15.5" x14ac:dyDescent="0.35">
      <c r="A76" s="4" t="s">
        <v>56</v>
      </c>
      <c r="C76" s="22">
        <f t="shared" ref="C76:N76" si="8">C18-C74</f>
        <v>202073.44523043837</v>
      </c>
      <c r="D76" s="22">
        <f t="shared" si="8"/>
        <v>258479.55669882009</v>
      </c>
      <c r="E76" s="22">
        <f t="shared" si="8"/>
        <v>316849.10630939552</v>
      </c>
      <c r="F76" s="22">
        <f t="shared" si="8"/>
        <v>454219.86509312782</v>
      </c>
      <c r="G76" s="22">
        <f t="shared" si="8"/>
        <v>454223.39406379778</v>
      </c>
      <c r="H76" s="22">
        <f t="shared" si="8"/>
        <v>199865.54421829013</v>
      </c>
      <c r="I76" s="22">
        <f t="shared" si="8"/>
        <v>227055.92153687426</v>
      </c>
      <c r="J76" s="22">
        <f t="shared" si="8"/>
        <v>172685.3469834819</v>
      </c>
      <c r="K76" s="22">
        <f t="shared" si="8"/>
        <v>258503.86150597921</v>
      </c>
      <c r="L76" s="22">
        <f t="shared" si="8"/>
        <v>-99177.758963565109</v>
      </c>
      <c r="M76" s="22">
        <f t="shared" si="8"/>
        <v>118321.15149138356</v>
      </c>
      <c r="N76" s="22">
        <f t="shared" si="8"/>
        <v>227072.14877208276</v>
      </c>
      <c r="P76" s="22">
        <f>P18-P74</f>
        <v>2790171.5829401053</v>
      </c>
    </row>
  </sheetData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/>
  <headerFooter alignWithMargins="0"/>
  <rowBreaks count="1" manualBreakCount="1">
    <brk id="6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zoomScaleSheetLayoutView="75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2.5" x14ac:dyDescent="0.25"/>
  <cols>
    <col min="1" max="1" width="2.453125" customWidth="1"/>
    <col min="2" max="2" width="28.81640625" customWidth="1"/>
    <col min="3" max="3" width="13.81640625" customWidth="1"/>
    <col min="4" max="5" width="12.81640625" customWidth="1"/>
    <col min="6" max="6" width="13.26953125" customWidth="1"/>
    <col min="7" max="7" width="13.54296875" customWidth="1"/>
    <col min="8" max="8" width="13.81640625" customWidth="1"/>
    <col min="9" max="9" width="14" customWidth="1"/>
    <col min="10" max="10" width="13.54296875" customWidth="1"/>
    <col min="11" max="13" width="13.26953125" customWidth="1"/>
    <col min="14" max="14" width="13.54296875" customWidth="1"/>
    <col min="15" max="15" width="3.7265625" customWidth="1"/>
    <col min="16" max="16" width="14.81640625" customWidth="1"/>
  </cols>
  <sheetData>
    <row r="1" spans="1:16" ht="15.5" x14ac:dyDescent="0.35">
      <c r="A1" s="4" t="s">
        <v>240</v>
      </c>
      <c r="B1" s="5"/>
    </row>
    <row r="2" spans="1:16" ht="15.5" x14ac:dyDescent="0.35">
      <c r="A2" s="4" t="s">
        <v>1</v>
      </c>
      <c r="B2" s="5"/>
    </row>
    <row r="3" spans="1:16" ht="15.5" x14ac:dyDescent="0.35">
      <c r="A3" s="4" t="s">
        <v>79</v>
      </c>
      <c r="B3" s="5"/>
    </row>
    <row r="5" spans="1:16" s="1" customFormat="1" ht="13" x14ac:dyDescent="0.3">
      <c r="C5" s="8" t="s">
        <v>64</v>
      </c>
      <c r="D5" s="8" t="s">
        <v>65</v>
      </c>
      <c r="E5" s="8" t="s">
        <v>66</v>
      </c>
      <c r="F5" s="8" t="s">
        <v>67</v>
      </c>
      <c r="G5" s="8" t="s">
        <v>68</v>
      </c>
      <c r="H5" s="8" t="s">
        <v>69</v>
      </c>
      <c r="I5" s="8" t="s">
        <v>70</v>
      </c>
      <c r="J5" s="8" t="s">
        <v>71</v>
      </c>
      <c r="K5" s="8" t="s">
        <v>72</v>
      </c>
      <c r="L5" s="8" t="s">
        <v>60</v>
      </c>
      <c r="M5" s="8" t="s">
        <v>61</v>
      </c>
      <c r="N5" s="8" t="s">
        <v>62</v>
      </c>
      <c r="P5" s="8" t="s">
        <v>3</v>
      </c>
    </row>
    <row r="6" spans="1:16" s="9" customFormat="1" ht="13" x14ac:dyDescent="0.3">
      <c r="C6" s="7">
        <v>2009</v>
      </c>
      <c r="D6" s="7">
        <v>2009</v>
      </c>
      <c r="E6" s="7">
        <v>2009</v>
      </c>
      <c r="F6" s="7">
        <v>2009</v>
      </c>
      <c r="G6" s="7">
        <v>2009</v>
      </c>
      <c r="H6" s="7">
        <v>2009</v>
      </c>
      <c r="I6" s="7">
        <v>2009</v>
      </c>
      <c r="J6" s="7">
        <v>2009</v>
      </c>
      <c r="K6" s="7">
        <v>2009</v>
      </c>
      <c r="L6" s="7">
        <v>2010</v>
      </c>
      <c r="M6" s="7">
        <v>2010</v>
      </c>
      <c r="N6" s="7">
        <v>2010</v>
      </c>
      <c r="P6" s="7">
        <v>2010</v>
      </c>
    </row>
    <row r="7" spans="1:16" s="9" customFormat="1" ht="15.5" x14ac:dyDescent="0.35">
      <c r="A7" s="4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6" ht="13" x14ac:dyDescent="0.3">
      <c r="B8" t="s">
        <v>8</v>
      </c>
      <c r="C8" s="13">
        <f>'P_L Workings'!AP46</f>
        <v>1658309.9</v>
      </c>
      <c r="D8" s="13">
        <f>'P_L Workings'!AQ46</f>
        <v>1746106</v>
      </c>
      <c r="E8" s="13">
        <f>'P_L Workings'!AR46</f>
        <v>1766919</v>
      </c>
      <c r="F8" s="13">
        <f>'P_L Workings'!AS46</f>
        <v>1932096.7</v>
      </c>
      <c r="G8" s="13">
        <f>'P_L Workings'!AT46</f>
        <v>1932096.7</v>
      </c>
      <c r="H8" s="13">
        <f>'P_L Workings'!AU46</f>
        <v>1670495.25</v>
      </c>
      <c r="I8" s="13">
        <f>'P_L Workings'!AV46</f>
        <v>1726178.425</v>
      </c>
      <c r="J8" s="13">
        <f>'P_L Workings'!AW46</f>
        <v>1608598.1</v>
      </c>
      <c r="K8" s="13">
        <f>'P_L Workings'!AX46</f>
        <v>1746106</v>
      </c>
      <c r="L8" s="13">
        <f>'P_L Workings'!AY46</f>
        <v>1053909.1000000001</v>
      </c>
      <c r="M8" s="13">
        <f>'P_L Workings'!AZ46</f>
        <v>1497660.3</v>
      </c>
      <c r="N8" s="13">
        <f>'P_L Workings'!BA46</f>
        <v>1719535.9000000001</v>
      </c>
      <c r="P8" s="2">
        <f t="shared" ref="P8:P17" si="0">SUM(C8:N8)</f>
        <v>20058011.375</v>
      </c>
    </row>
    <row r="9" spans="1:16" ht="13" x14ac:dyDescent="0.3">
      <c r="B9" t="s">
        <v>9</v>
      </c>
      <c r="C9" s="13">
        <f>'P_L Workings'!AP69</f>
        <v>22784.575000000004</v>
      </c>
      <c r="D9" s="13">
        <f>'P_L Workings'!AQ69</f>
        <v>19484.739999999998</v>
      </c>
      <c r="E9" s="13">
        <f>'P_L Workings'!AR69</f>
        <v>28284.3</v>
      </c>
      <c r="F9" s="13">
        <f>'P_L Workings'!AS69</f>
        <v>29227.109999999997</v>
      </c>
      <c r="G9" s="13">
        <f>'P_L Workings'!AT69</f>
        <v>29227.109999999997</v>
      </c>
      <c r="H9" s="13">
        <f>'P_L Workings'!AU69</f>
        <v>14142.15</v>
      </c>
      <c r="I9" s="13">
        <f>'P_L Workings'!AV69</f>
        <v>14613.554999999998</v>
      </c>
      <c r="J9" s="13">
        <f>'P_L Workings'!AW69</f>
        <v>13670.744999999999</v>
      </c>
      <c r="K9" s="13">
        <f>'P_L Workings'!AX69</f>
        <v>19484.739999999998</v>
      </c>
      <c r="L9" s="13">
        <f>'P_L Workings'!AY69</f>
        <v>8956.6949999999997</v>
      </c>
      <c r="M9" s="13">
        <f>'P_L Workings'!AZ69</f>
        <v>12727.934999999999</v>
      </c>
      <c r="N9" s="13">
        <f>'P_L Workings'!BA69</f>
        <v>14613.554999999998</v>
      </c>
      <c r="P9" s="2">
        <f t="shared" si="0"/>
        <v>227217.21</v>
      </c>
    </row>
    <row r="10" spans="1:16" ht="13" hidden="1" x14ac:dyDescent="0.3">
      <c r="B10" t="s">
        <v>10</v>
      </c>
      <c r="P10" s="2">
        <f t="shared" si="0"/>
        <v>0</v>
      </c>
    </row>
    <row r="11" spans="1:16" ht="13" hidden="1" x14ac:dyDescent="0.3">
      <c r="B11" t="s">
        <v>11</v>
      </c>
      <c r="P11" s="2">
        <f t="shared" si="0"/>
        <v>0</v>
      </c>
    </row>
    <row r="12" spans="1:16" ht="13" hidden="1" x14ac:dyDescent="0.3">
      <c r="B12" t="s">
        <v>12</v>
      </c>
      <c r="P12" s="2">
        <f t="shared" si="0"/>
        <v>0</v>
      </c>
    </row>
    <row r="13" spans="1:16" ht="13" hidden="1" x14ac:dyDescent="0.3">
      <c r="B13" t="s">
        <v>13</v>
      </c>
      <c r="P13" s="2">
        <f t="shared" si="0"/>
        <v>0</v>
      </c>
    </row>
    <row r="14" spans="1:16" ht="13" hidden="1" x14ac:dyDescent="0.3">
      <c r="B14" t="s">
        <v>14</v>
      </c>
      <c r="P14" s="2">
        <f t="shared" si="0"/>
        <v>0</v>
      </c>
    </row>
    <row r="15" spans="1:16" ht="13" hidden="1" x14ac:dyDescent="0.3">
      <c r="B15" t="s">
        <v>15</v>
      </c>
      <c r="P15" s="2">
        <f t="shared" si="0"/>
        <v>0</v>
      </c>
    </row>
    <row r="16" spans="1:16" ht="13" hidden="1" x14ac:dyDescent="0.3">
      <c r="B16" t="s">
        <v>16</v>
      </c>
      <c r="P16" s="2">
        <f t="shared" si="0"/>
        <v>0</v>
      </c>
    </row>
    <row r="17" spans="1:16" ht="13" x14ac:dyDescent="0.3">
      <c r="B17" t="s">
        <v>17</v>
      </c>
      <c r="C17" s="1">
        <f>'P_L Workings'!AP74</f>
        <v>20300</v>
      </c>
      <c r="D17" s="1">
        <f>'P_L Workings'!AQ74</f>
        <v>21700</v>
      </c>
      <c r="E17" s="1">
        <f>'P_L Workings'!AR74</f>
        <v>21000</v>
      </c>
      <c r="F17" s="1">
        <f>'P_L Workings'!AS74</f>
        <v>21700</v>
      </c>
      <c r="G17" s="1">
        <f>'P_L Workings'!AT74</f>
        <v>21700</v>
      </c>
      <c r="H17" s="1">
        <f>'P_L Workings'!AU74</f>
        <v>21000</v>
      </c>
      <c r="I17" s="1">
        <f>'P_L Workings'!AV74</f>
        <v>21700</v>
      </c>
      <c r="J17" s="1">
        <f>'P_L Workings'!AW74</f>
        <v>20300</v>
      </c>
      <c r="K17" s="1">
        <f>'P_L Workings'!AX74</f>
        <v>21700</v>
      </c>
      <c r="L17" s="1">
        <f>'P_L Workings'!AY74</f>
        <v>13300</v>
      </c>
      <c r="M17" s="1">
        <f>'P_L Workings'!AZ74</f>
        <v>18900</v>
      </c>
      <c r="N17" s="1">
        <f>'P_L Workings'!BA74</f>
        <v>21700</v>
      </c>
      <c r="P17" s="2">
        <f t="shared" si="0"/>
        <v>245000</v>
      </c>
    </row>
    <row r="18" spans="1:16" ht="14" x14ac:dyDescent="0.3">
      <c r="A18" s="14" t="s">
        <v>18</v>
      </c>
      <c r="C18" s="15">
        <f t="shared" ref="C18:N18" si="1">SUM(C8:C17)</f>
        <v>1701394.4749999999</v>
      </c>
      <c r="D18" s="15">
        <f t="shared" si="1"/>
        <v>1787290.74</v>
      </c>
      <c r="E18" s="15">
        <f t="shared" si="1"/>
        <v>1816203.3</v>
      </c>
      <c r="F18" s="15">
        <f t="shared" si="1"/>
        <v>1983023.81</v>
      </c>
      <c r="G18" s="15">
        <f t="shared" si="1"/>
        <v>1983023.81</v>
      </c>
      <c r="H18" s="15">
        <f t="shared" si="1"/>
        <v>1705637.4</v>
      </c>
      <c r="I18" s="15">
        <f t="shared" si="1"/>
        <v>1762491.98</v>
      </c>
      <c r="J18" s="15">
        <f t="shared" si="1"/>
        <v>1642568.8450000002</v>
      </c>
      <c r="K18" s="15">
        <f t="shared" si="1"/>
        <v>1787290.74</v>
      </c>
      <c r="L18" s="15">
        <f t="shared" si="1"/>
        <v>1076165.7950000002</v>
      </c>
      <c r="M18" s="15">
        <f t="shared" si="1"/>
        <v>1529288.2350000001</v>
      </c>
      <c r="N18" s="15">
        <f t="shared" si="1"/>
        <v>1755849.4550000001</v>
      </c>
      <c r="P18" s="15">
        <f>SUM(P8:P17)</f>
        <v>20530228.585000001</v>
      </c>
    </row>
    <row r="19" spans="1:16" ht="13" x14ac:dyDescent="0.3">
      <c r="P19" s="3"/>
    </row>
    <row r="20" spans="1:16" ht="15.5" x14ac:dyDescent="0.35">
      <c r="A20" s="4" t="s">
        <v>19</v>
      </c>
      <c r="P20" s="3"/>
    </row>
    <row r="21" spans="1:16" ht="6" customHeight="1" x14ac:dyDescent="0.35">
      <c r="A21" s="4"/>
      <c r="P21" s="3"/>
    </row>
    <row r="22" spans="1:16" ht="15.5" x14ac:dyDescent="0.35">
      <c r="A22" s="17" t="s">
        <v>20</v>
      </c>
      <c r="P22" s="3"/>
    </row>
    <row r="23" spans="1:16" ht="13" x14ac:dyDescent="0.3">
      <c r="B23" t="s">
        <v>21</v>
      </c>
      <c r="C23" s="18">
        <f>'P_L Workings'!AP81</f>
        <v>0</v>
      </c>
      <c r="D23" s="18">
        <f>'P_L Workings'!AQ81</f>
        <v>0</v>
      </c>
      <c r="E23" s="18">
        <f>'P_L Workings'!AR81</f>
        <v>0</v>
      </c>
      <c r="F23" s="18">
        <f>'P_L Workings'!AS81</f>
        <v>0</v>
      </c>
      <c r="G23" s="18">
        <f>'P_L Workings'!AT81</f>
        <v>0</v>
      </c>
      <c r="H23" s="18">
        <f>'P_L Workings'!AU81</f>
        <v>0</v>
      </c>
      <c r="I23" s="18">
        <f>'P_L Workings'!AV81</f>
        <v>0</v>
      </c>
      <c r="J23" s="18">
        <f>'P_L Workings'!AW81</f>
        <v>0</v>
      </c>
      <c r="K23" s="18">
        <f>'P_L Workings'!AX81</f>
        <v>0</v>
      </c>
      <c r="L23" s="18">
        <f>'P_L Workings'!AY81</f>
        <v>0</v>
      </c>
      <c r="M23" s="18">
        <f>'P_L Workings'!AZ81</f>
        <v>0</v>
      </c>
      <c r="N23" s="18">
        <f>'P_L Workings'!BA81</f>
        <v>0</v>
      </c>
      <c r="P23" s="18">
        <f>SUM(C23:N23)</f>
        <v>0</v>
      </c>
    </row>
    <row r="24" spans="1:16" ht="13" hidden="1" x14ac:dyDescent="0.3">
      <c r="B24" t="s">
        <v>16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P24" s="3"/>
    </row>
    <row r="25" spans="1:16" ht="13" hidden="1" x14ac:dyDescent="0.3">
      <c r="B25" t="s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P25" s="3"/>
    </row>
    <row r="26" spans="1:16" ht="14" hidden="1" x14ac:dyDescent="0.3">
      <c r="B26" s="19" t="s">
        <v>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P26" s="3"/>
    </row>
    <row r="27" spans="1:16" ht="6" customHeight="1" x14ac:dyDescent="0.3"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P27" s="3"/>
    </row>
    <row r="28" spans="1:16" ht="15.5" x14ac:dyDescent="0.35">
      <c r="A28" s="17" t="s">
        <v>23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P28" s="3"/>
    </row>
    <row r="29" spans="1:16" ht="13" x14ac:dyDescent="0.3">
      <c r="B29" t="s">
        <v>9</v>
      </c>
      <c r="C29" s="18">
        <f>'P_L Workings'!AP90</f>
        <v>20714.285714285717</v>
      </c>
      <c r="D29" s="18">
        <f>'P_L Workings'!AQ90</f>
        <v>22142.857142857145</v>
      </c>
      <c r="E29" s="18">
        <f>'P_L Workings'!AR90</f>
        <v>21428.571428571431</v>
      </c>
      <c r="F29" s="18">
        <f>'P_L Workings'!AS90</f>
        <v>22142.857142857145</v>
      </c>
      <c r="G29" s="18">
        <f>'P_L Workings'!AT90</f>
        <v>22142.857142857145</v>
      </c>
      <c r="H29" s="18">
        <f>'P_L Workings'!AU90</f>
        <v>21428.571428571431</v>
      </c>
      <c r="I29" s="18">
        <f>'P_L Workings'!AV90</f>
        <v>22142.857142857145</v>
      </c>
      <c r="J29" s="18">
        <f>'P_L Workings'!AW90</f>
        <v>20714.285714285717</v>
      </c>
      <c r="K29" s="18">
        <f>'P_L Workings'!AX90</f>
        <v>22142.857142857145</v>
      </c>
      <c r="L29" s="18">
        <f>'P_L Workings'!AY90</f>
        <v>13571.428571428572</v>
      </c>
      <c r="M29" s="18">
        <f>'P_L Workings'!AZ90</f>
        <v>19285.714285714286</v>
      </c>
      <c r="N29" s="18">
        <f>'P_L Workings'!BA90</f>
        <v>22142.857142857145</v>
      </c>
      <c r="P29" s="18">
        <f>SUM(C29:N29)</f>
        <v>250000</v>
      </c>
    </row>
    <row r="30" spans="1:16" ht="14" hidden="1" x14ac:dyDescent="0.3">
      <c r="B30" s="19" t="s">
        <v>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P30" s="3"/>
    </row>
    <row r="31" spans="1:16" ht="6" customHeight="1" x14ac:dyDescent="0.3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P31" s="3"/>
    </row>
    <row r="32" spans="1:16" ht="15.5" x14ac:dyDescent="0.35">
      <c r="A32" s="17" t="s">
        <v>24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P32" s="3"/>
    </row>
    <row r="33" spans="1:16" ht="13" x14ac:dyDescent="0.3">
      <c r="B33" t="s">
        <v>25</v>
      </c>
      <c r="C33" s="13">
        <f>'P_L Workings'!AP94</f>
        <v>477976.16666666669</v>
      </c>
      <c r="D33" s="13">
        <f>'P_L Workings'!AQ94</f>
        <v>477976.16666666669</v>
      </c>
      <c r="E33" s="13">
        <f>'P_L Workings'!AR94</f>
        <v>477976.16666666669</v>
      </c>
      <c r="F33" s="13">
        <f>'P_L Workings'!AS94</f>
        <v>477976.16666666669</v>
      </c>
      <c r="G33" s="13">
        <f>'P_L Workings'!AT94</f>
        <v>477976.16666666669</v>
      </c>
      <c r="H33" s="13">
        <f>'P_L Workings'!AU94</f>
        <v>477976.16666666669</v>
      </c>
      <c r="I33" s="13">
        <f>'P_L Workings'!AV94</f>
        <v>477976.16666666669</v>
      </c>
      <c r="J33" s="13">
        <f>'P_L Workings'!AW94</f>
        <v>477976.16666666669</v>
      </c>
      <c r="K33" s="13">
        <f>'P_L Workings'!AX94</f>
        <v>477976.16666666669</v>
      </c>
      <c r="L33" s="13">
        <f>'P_L Workings'!AY94</f>
        <v>477976.16666666669</v>
      </c>
      <c r="M33" s="13">
        <f>'P_L Workings'!AZ94</f>
        <v>477976.16666666669</v>
      </c>
      <c r="N33" s="13">
        <f>'P_L Workings'!BA94</f>
        <v>477976.16666666669</v>
      </c>
      <c r="P33" s="2">
        <f t="shared" ref="P33:P46" si="2">SUM(C33:N33)</f>
        <v>5735714.0000000009</v>
      </c>
    </row>
    <row r="34" spans="1:16" ht="13" x14ac:dyDescent="0.3">
      <c r="B34" t="s">
        <v>26</v>
      </c>
      <c r="C34" s="13">
        <f>'P_L Workings'!AP95</f>
        <v>20833.333333333332</v>
      </c>
      <c r="D34" s="13">
        <f>'P_L Workings'!AQ95</f>
        <v>20833.333333333332</v>
      </c>
      <c r="E34" s="13">
        <f>'P_L Workings'!AR95</f>
        <v>20833.333333333332</v>
      </c>
      <c r="F34" s="13">
        <f>'P_L Workings'!AS95</f>
        <v>20833.333333333332</v>
      </c>
      <c r="G34" s="13">
        <f>'P_L Workings'!AT95</f>
        <v>20833.333333333332</v>
      </c>
      <c r="H34" s="13">
        <f>'P_L Workings'!AU95</f>
        <v>20833.333333333332</v>
      </c>
      <c r="I34" s="13">
        <f>'P_L Workings'!AV95</f>
        <v>20833.333333333332</v>
      </c>
      <c r="J34" s="13">
        <f>'P_L Workings'!AW95</f>
        <v>20833.333333333332</v>
      </c>
      <c r="K34" s="13">
        <f>'P_L Workings'!AX95</f>
        <v>20833.333333333332</v>
      </c>
      <c r="L34" s="13">
        <f>'P_L Workings'!AY95</f>
        <v>20833.333333333332</v>
      </c>
      <c r="M34" s="13">
        <f>'P_L Workings'!AZ95</f>
        <v>20833.333333333332</v>
      </c>
      <c r="N34" s="13">
        <f>'P_L Workings'!BA95</f>
        <v>20833.333333333332</v>
      </c>
      <c r="P34" s="2">
        <f t="shared" si="2"/>
        <v>250000.00000000003</v>
      </c>
    </row>
    <row r="35" spans="1:16" ht="13" x14ac:dyDescent="0.3">
      <c r="B35" t="s">
        <v>27</v>
      </c>
      <c r="C35" s="13">
        <f>'P_L Workings'!AP102</f>
        <v>255296.86000000002</v>
      </c>
      <c r="D35" s="13">
        <f>'P_L Workings'!AQ102</f>
        <v>272903.53999999998</v>
      </c>
      <c r="E35" s="13">
        <f>'P_L Workings'!AR102</f>
        <v>264100.2</v>
      </c>
      <c r="F35" s="13">
        <f>'P_L Workings'!AS102</f>
        <v>272903.53999999998</v>
      </c>
      <c r="G35" s="13">
        <f>'P_L Workings'!AT102</f>
        <v>272903.53999999998</v>
      </c>
      <c r="H35" s="13">
        <f>'P_L Workings'!AU102</f>
        <v>264100.2</v>
      </c>
      <c r="I35" s="13">
        <f>'P_L Workings'!AV102</f>
        <v>272903.53999999998</v>
      </c>
      <c r="J35" s="13">
        <f>'P_L Workings'!AW102</f>
        <v>255296.86000000002</v>
      </c>
      <c r="K35" s="13">
        <f>'P_L Workings'!AX102</f>
        <v>272903.53999999998</v>
      </c>
      <c r="L35" s="13">
        <f>'P_L Workings'!AY102</f>
        <v>167263.46</v>
      </c>
      <c r="M35" s="13">
        <f>'P_L Workings'!AZ102</f>
        <v>237690.18</v>
      </c>
      <c r="N35" s="13">
        <f>'P_L Workings'!BA102</f>
        <v>272903.53999999998</v>
      </c>
      <c r="P35" s="2">
        <f t="shared" si="2"/>
        <v>3081169.0000000005</v>
      </c>
    </row>
    <row r="36" spans="1:16" ht="13" x14ac:dyDescent="0.3">
      <c r="B36" t="s">
        <v>28</v>
      </c>
      <c r="C36" s="13">
        <f>'P_L Workings'!AP104</f>
        <v>14583.333333333334</v>
      </c>
      <c r="D36" s="13">
        <f>'P_L Workings'!AQ104</f>
        <v>14583.333333333334</v>
      </c>
      <c r="E36" s="13">
        <f>'P_L Workings'!AR104</f>
        <v>14583.333333333334</v>
      </c>
      <c r="F36" s="13">
        <f>'P_L Workings'!AS104</f>
        <v>14583.333333333334</v>
      </c>
      <c r="G36" s="13">
        <f>'P_L Workings'!AT104</f>
        <v>14583.333333333334</v>
      </c>
      <c r="H36" s="13">
        <f>'P_L Workings'!AU104</f>
        <v>14583.333333333334</v>
      </c>
      <c r="I36" s="13">
        <f>'P_L Workings'!AV104</f>
        <v>14583.333333333334</v>
      </c>
      <c r="J36" s="13">
        <f>'P_L Workings'!AW104</f>
        <v>14583.333333333334</v>
      </c>
      <c r="K36" s="13">
        <f>'P_L Workings'!AX104</f>
        <v>14583.333333333334</v>
      </c>
      <c r="L36" s="13">
        <f>'P_L Workings'!AY104</f>
        <v>14583.333333333334</v>
      </c>
      <c r="M36" s="13">
        <f>'P_L Workings'!AZ104</f>
        <v>14583.333333333334</v>
      </c>
      <c r="N36" s="13">
        <f>'P_L Workings'!BA104</f>
        <v>14583.333333333334</v>
      </c>
      <c r="P36" s="2">
        <f t="shared" si="2"/>
        <v>175000.00000000003</v>
      </c>
    </row>
    <row r="37" spans="1:16" ht="13" x14ac:dyDescent="0.3">
      <c r="B37" t="s">
        <v>29</v>
      </c>
      <c r="C37" s="13">
        <f>'P_L Workings'!AP108</f>
        <v>3728.5714285714289</v>
      </c>
      <c r="D37" s="13">
        <f>'P_L Workings'!AQ108</f>
        <v>3985.7142857142862</v>
      </c>
      <c r="E37" s="13">
        <f>'P_L Workings'!AR108</f>
        <v>3857.1428571428573</v>
      </c>
      <c r="F37" s="13">
        <f>'P_L Workings'!AS108</f>
        <v>3985.7142857142862</v>
      </c>
      <c r="G37" s="13">
        <f>'P_L Workings'!AT108</f>
        <v>3985.7142857142862</v>
      </c>
      <c r="H37" s="13">
        <f>'P_L Workings'!AU108</f>
        <v>3857.1428571428573</v>
      </c>
      <c r="I37" s="13">
        <f>'P_L Workings'!AV108</f>
        <v>3985.7142857142862</v>
      </c>
      <c r="J37" s="13">
        <f>'P_L Workings'!AW108</f>
        <v>3728.5714285714289</v>
      </c>
      <c r="K37" s="13">
        <f>'P_L Workings'!AX108</f>
        <v>3985.7142857142862</v>
      </c>
      <c r="L37" s="13">
        <f>'P_L Workings'!AY108</f>
        <v>2442.8571428571431</v>
      </c>
      <c r="M37" s="13">
        <f>'P_L Workings'!AZ108</f>
        <v>3471.4285714285716</v>
      </c>
      <c r="N37" s="13">
        <f>'P_L Workings'!BA108</f>
        <v>3985.7142857142862</v>
      </c>
      <c r="P37" s="2">
        <f t="shared" si="2"/>
        <v>45000</v>
      </c>
    </row>
    <row r="38" spans="1:16" ht="13" x14ac:dyDescent="0.3">
      <c r="B38" t="s">
        <v>30</v>
      </c>
      <c r="C38" s="13">
        <f>'P_L Workings'!AP113</f>
        <v>29828.571428571431</v>
      </c>
      <c r="D38" s="13">
        <f>'P_L Workings'!AQ113</f>
        <v>31885.71428571429</v>
      </c>
      <c r="E38" s="13">
        <f>'P_L Workings'!AR113</f>
        <v>30857.142857142859</v>
      </c>
      <c r="F38" s="13">
        <f>'P_L Workings'!AS113</f>
        <v>31885.71428571429</v>
      </c>
      <c r="G38" s="13">
        <f>'P_L Workings'!AT113</f>
        <v>31885.71428571429</v>
      </c>
      <c r="H38" s="13">
        <f>'P_L Workings'!AU113</f>
        <v>30857.142857142859</v>
      </c>
      <c r="I38" s="13">
        <f>'P_L Workings'!AV113</f>
        <v>31885.71428571429</v>
      </c>
      <c r="J38" s="13">
        <f>'P_L Workings'!AW113</f>
        <v>29828.571428571431</v>
      </c>
      <c r="K38" s="13">
        <f>'P_L Workings'!AX113</f>
        <v>31885.71428571429</v>
      </c>
      <c r="L38" s="13">
        <f>'P_L Workings'!AY113</f>
        <v>19542.857142857145</v>
      </c>
      <c r="M38" s="13">
        <f>'P_L Workings'!AZ113</f>
        <v>27771.428571428572</v>
      </c>
      <c r="N38" s="13">
        <f>'P_L Workings'!BA113</f>
        <v>31885.71428571429</v>
      </c>
      <c r="P38" s="2">
        <f t="shared" si="2"/>
        <v>360000</v>
      </c>
    </row>
    <row r="39" spans="1:16" ht="13" x14ac:dyDescent="0.3">
      <c r="B39" t="s">
        <v>31</v>
      </c>
      <c r="C39" s="13">
        <f>'P_L Workings'!AP118</f>
        <v>111857.14285714287</v>
      </c>
      <c r="D39" s="13">
        <f>'P_L Workings'!AQ118</f>
        <v>119571.42857142858</v>
      </c>
      <c r="E39" s="13">
        <f>'P_L Workings'!AR118</f>
        <v>115714.28571428572</v>
      </c>
      <c r="F39" s="13">
        <f>'P_L Workings'!AS118</f>
        <v>119571.42857142858</v>
      </c>
      <c r="G39" s="13">
        <f>'P_L Workings'!AT118</f>
        <v>119571.42857142858</v>
      </c>
      <c r="H39" s="13">
        <f>'P_L Workings'!AU118</f>
        <v>115714.28571428572</v>
      </c>
      <c r="I39" s="13">
        <f>'P_L Workings'!AV118</f>
        <v>119571.42857142858</v>
      </c>
      <c r="J39" s="13">
        <f>'P_L Workings'!AW118</f>
        <v>111857.14285714287</v>
      </c>
      <c r="K39" s="13">
        <f>'P_L Workings'!AX118</f>
        <v>119571.42857142858</v>
      </c>
      <c r="L39" s="13">
        <f>'P_L Workings'!AY118</f>
        <v>73285.71428571429</v>
      </c>
      <c r="M39" s="13">
        <f>'P_L Workings'!AZ118</f>
        <v>104142.85714285714</v>
      </c>
      <c r="N39" s="13">
        <f>'P_L Workings'!BA118</f>
        <v>119571.42857142858</v>
      </c>
      <c r="P39" s="2">
        <f t="shared" si="2"/>
        <v>1350000</v>
      </c>
    </row>
    <row r="40" spans="1:16" ht="13" x14ac:dyDescent="0.3">
      <c r="B40" t="s">
        <v>32</v>
      </c>
      <c r="C40" s="13">
        <f>'P_L Workings'!AP120</f>
        <v>5000</v>
      </c>
      <c r="D40" s="13">
        <f>'P_L Workings'!AQ120</f>
        <v>5000</v>
      </c>
      <c r="E40" s="13">
        <f>'P_L Workings'!AR120</f>
        <v>5000</v>
      </c>
      <c r="F40" s="13">
        <f>'P_L Workings'!AS120</f>
        <v>5000</v>
      </c>
      <c r="G40" s="13">
        <f>'P_L Workings'!AT120</f>
        <v>5000</v>
      </c>
      <c r="H40" s="13">
        <f>'P_L Workings'!AU120</f>
        <v>5000</v>
      </c>
      <c r="I40" s="13">
        <f>'P_L Workings'!AV120</f>
        <v>5000</v>
      </c>
      <c r="J40" s="13">
        <f>'P_L Workings'!AW120</f>
        <v>5000</v>
      </c>
      <c r="K40" s="13">
        <f>'P_L Workings'!AX120</f>
        <v>5000</v>
      </c>
      <c r="L40" s="13">
        <f>'P_L Workings'!AY120</f>
        <v>5000</v>
      </c>
      <c r="M40" s="13">
        <f>'P_L Workings'!AZ120</f>
        <v>5000</v>
      </c>
      <c r="N40" s="13">
        <f>'P_L Workings'!BA120</f>
        <v>5000</v>
      </c>
      <c r="P40" s="2">
        <f t="shared" si="2"/>
        <v>60000</v>
      </c>
    </row>
    <row r="41" spans="1:16" ht="13" x14ac:dyDescent="0.3">
      <c r="B41" t="s">
        <v>33</v>
      </c>
      <c r="C41" s="13">
        <f>'P_L Workings'!AP121</f>
        <v>8000</v>
      </c>
      <c r="D41" s="13">
        <f>'P_L Workings'!AQ121</f>
        <v>8000</v>
      </c>
      <c r="E41" s="13">
        <f>'P_L Workings'!AR121</f>
        <v>8000</v>
      </c>
      <c r="F41" s="13">
        <f>'P_L Workings'!AS121</f>
        <v>8000</v>
      </c>
      <c r="G41" s="13">
        <f>'P_L Workings'!AT121</f>
        <v>8000</v>
      </c>
      <c r="H41" s="13">
        <f>'P_L Workings'!AU121</f>
        <v>8000</v>
      </c>
      <c r="I41" s="13">
        <f>'P_L Workings'!AV121</f>
        <v>8000</v>
      </c>
      <c r="J41" s="13">
        <f>'P_L Workings'!AW121</f>
        <v>8000</v>
      </c>
      <c r="K41" s="13">
        <f>'P_L Workings'!AX121</f>
        <v>8000</v>
      </c>
      <c r="L41" s="13">
        <f>'P_L Workings'!AY121</f>
        <v>8000</v>
      </c>
      <c r="M41" s="13">
        <f>'P_L Workings'!AZ121</f>
        <v>8000</v>
      </c>
      <c r="N41" s="13">
        <f>'P_L Workings'!BA121</f>
        <v>8000</v>
      </c>
      <c r="P41" s="2">
        <f t="shared" si="2"/>
        <v>96000</v>
      </c>
    </row>
    <row r="42" spans="1:16" ht="13" x14ac:dyDescent="0.3">
      <c r="B42" t="s">
        <v>34</v>
      </c>
      <c r="C42" s="13">
        <f>'P_L Workings'!AP125</f>
        <v>53857.142857142855</v>
      </c>
      <c r="D42" s="13">
        <f>'P_L Workings'!AQ125</f>
        <v>57571.428571428572</v>
      </c>
      <c r="E42" s="13">
        <f>'P_L Workings'!AR125</f>
        <v>55714.28571428571</v>
      </c>
      <c r="F42" s="13">
        <f>'P_L Workings'!AS125</f>
        <v>57571.428571428572</v>
      </c>
      <c r="G42" s="13">
        <f>'P_L Workings'!AT125</f>
        <v>57571.428571428572</v>
      </c>
      <c r="H42" s="13">
        <f>'P_L Workings'!AU125</f>
        <v>55714.28571428571</v>
      </c>
      <c r="I42" s="13">
        <f>'P_L Workings'!AV125</f>
        <v>57571.428571428572</v>
      </c>
      <c r="J42" s="13">
        <f>'P_L Workings'!AW125</f>
        <v>53857.142857142855</v>
      </c>
      <c r="K42" s="13">
        <f>'P_L Workings'!AX125</f>
        <v>57571.428571428572</v>
      </c>
      <c r="L42" s="13">
        <f>'P_L Workings'!AY125</f>
        <v>35285.714285714283</v>
      </c>
      <c r="M42" s="13">
        <f>'P_L Workings'!AZ125</f>
        <v>50142.857142857145</v>
      </c>
      <c r="N42" s="13">
        <f>'P_L Workings'!BA125</f>
        <v>57571.428571428572</v>
      </c>
      <c r="P42" s="2">
        <f t="shared" si="2"/>
        <v>650000</v>
      </c>
    </row>
    <row r="43" spans="1:16" ht="13" x14ac:dyDescent="0.3">
      <c r="B43" t="s">
        <v>35</v>
      </c>
      <c r="C43" s="13">
        <f>'P_L Workings'!AP130</f>
        <v>198857.14285714284</v>
      </c>
      <c r="D43" s="13">
        <f>'P_L Workings'!AQ130</f>
        <v>212571.42857142855</v>
      </c>
      <c r="E43" s="13">
        <f>'P_L Workings'!AR130</f>
        <v>205714.28571428571</v>
      </c>
      <c r="F43" s="13">
        <f>'P_L Workings'!AS130</f>
        <v>212571.42857142855</v>
      </c>
      <c r="G43" s="13">
        <f>'P_L Workings'!AT130</f>
        <v>212571.42857142855</v>
      </c>
      <c r="H43" s="13">
        <f>'P_L Workings'!AU130</f>
        <v>205714.28571428571</v>
      </c>
      <c r="I43" s="13">
        <f>'P_L Workings'!AV130</f>
        <v>212571.42857142855</v>
      </c>
      <c r="J43" s="13">
        <f>'P_L Workings'!AW130</f>
        <v>198857.14285714284</v>
      </c>
      <c r="K43" s="13">
        <f>'P_L Workings'!AX130</f>
        <v>212571.42857142855</v>
      </c>
      <c r="L43" s="13">
        <f>'P_L Workings'!AY130</f>
        <v>130285.71428571428</v>
      </c>
      <c r="M43" s="13">
        <f>'P_L Workings'!AZ130</f>
        <v>185142.85714285713</v>
      </c>
      <c r="N43" s="13">
        <f>'P_L Workings'!BA130</f>
        <v>212571.42857142855</v>
      </c>
      <c r="P43" s="2">
        <f t="shared" si="2"/>
        <v>2400000</v>
      </c>
    </row>
    <row r="44" spans="1:16" ht="13" x14ac:dyDescent="0.3">
      <c r="B44" t="s">
        <v>36</v>
      </c>
      <c r="C44" s="13">
        <f>'P_L Workings'!AP135</f>
        <v>32314.285714285714</v>
      </c>
      <c r="D44" s="13">
        <f>'P_L Workings'!AQ135</f>
        <v>34542.857142857138</v>
      </c>
      <c r="E44" s="13">
        <f>'P_L Workings'!AR135</f>
        <v>33428.571428571428</v>
      </c>
      <c r="F44" s="13">
        <f>'P_L Workings'!AS135</f>
        <v>34542.857142857138</v>
      </c>
      <c r="G44" s="13">
        <f>'P_L Workings'!AT135</f>
        <v>34542.857142857138</v>
      </c>
      <c r="H44" s="13">
        <f>'P_L Workings'!AU135</f>
        <v>33428.571428571428</v>
      </c>
      <c r="I44" s="13">
        <f>'P_L Workings'!AV135</f>
        <v>34542.857142857138</v>
      </c>
      <c r="J44" s="13">
        <f>'P_L Workings'!AW135</f>
        <v>32314.285714285714</v>
      </c>
      <c r="K44" s="13">
        <f>'P_L Workings'!AX135</f>
        <v>34542.857142857138</v>
      </c>
      <c r="L44" s="13">
        <f>'P_L Workings'!AY135</f>
        <v>21171.428571428569</v>
      </c>
      <c r="M44" s="13">
        <f>'P_L Workings'!AZ135</f>
        <v>30085.714285714283</v>
      </c>
      <c r="N44" s="13">
        <f>'P_L Workings'!BA135</f>
        <v>34542.857142857138</v>
      </c>
      <c r="P44" s="2">
        <f t="shared" si="2"/>
        <v>390000</v>
      </c>
    </row>
    <row r="45" spans="1:16" ht="13" x14ac:dyDescent="0.3">
      <c r="B45" t="s">
        <v>37</v>
      </c>
      <c r="C45" s="13">
        <f>'P_L Workings'!AP140</f>
        <v>24857.142857142855</v>
      </c>
      <c r="D45" s="13">
        <f>'P_L Workings'!AQ140</f>
        <v>26571.428571428569</v>
      </c>
      <c r="E45" s="13">
        <f>'P_L Workings'!AR140</f>
        <v>25714.285714285714</v>
      </c>
      <c r="F45" s="13">
        <f>'P_L Workings'!AS140</f>
        <v>26571.428571428569</v>
      </c>
      <c r="G45" s="13">
        <f>'P_L Workings'!AT140</f>
        <v>26571.428571428569</v>
      </c>
      <c r="H45" s="13">
        <f>'P_L Workings'!AU140</f>
        <v>25714.285714285714</v>
      </c>
      <c r="I45" s="13">
        <f>'P_L Workings'!AV140</f>
        <v>26571.428571428569</v>
      </c>
      <c r="J45" s="13">
        <f>'P_L Workings'!AW140</f>
        <v>24857.142857142855</v>
      </c>
      <c r="K45" s="13">
        <f>'P_L Workings'!AX140</f>
        <v>26571.428571428569</v>
      </c>
      <c r="L45" s="13">
        <f>'P_L Workings'!AY140</f>
        <v>16285.714285714284</v>
      </c>
      <c r="M45" s="13">
        <f>'P_L Workings'!AZ140</f>
        <v>23142.857142857141</v>
      </c>
      <c r="N45" s="13">
        <f>'P_L Workings'!BA140</f>
        <v>26571.428571428569</v>
      </c>
      <c r="P45" s="2">
        <f t="shared" si="2"/>
        <v>300000</v>
      </c>
    </row>
    <row r="46" spans="1:16" ht="14" x14ac:dyDescent="0.3">
      <c r="B46" s="19" t="s">
        <v>3</v>
      </c>
      <c r="C46" s="15">
        <f t="shared" ref="C46:N46" si="3">SUM(C33:C45)</f>
        <v>1236989.6933333334</v>
      </c>
      <c r="D46" s="15">
        <f t="shared" si="3"/>
        <v>1285996.3733333333</v>
      </c>
      <c r="E46" s="15">
        <f t="shared" si="3"/>
        <v>1261493.0333333332</v>
      </c>
      <c r="F46" s="15">
        <f t="shared" si="3"/>
        <v>1285996.3733333333</v>
      </c>
      <c r="G46" s="15">
        <f t="shared" si="3"/>
        <v>1285996.3733333333</v>
      </c>
      <c r="H46" s="15">
        <f t="shared" si="3"/>
        <v>1261493.0333333332</v>
      </c>
      <c r="I46" s="15">
        <f t="shared" si="3"/>
        <v>1285996.3733333333</v>
      </c>
      <c r="J46" s="15">
        <f t="shared" si="3"/>
        <v>1236989.6933333334</v>
      </c>
      <c r="K46" s="15">
        <f t="shared" si="3"/>
        <v>1285996.3733333333</v>
      </c>
      <c r="L46" s="15">
        <f t="shared" si="3"/>
        <v>991956.29333333345</v>
      </c>
      <c r="M46" s="15">
        <f t="shared" si="3"/>
        <v>1187983.0133333332</v>
      </c>
      <c r="N46" s="15">
        <f t="shared" si="3"/>
        <v>1285996.3733333333</v>
      </c>
      <c r="P46" s="15">
        <f t="shared" si="2"/>
        <v>14892882.999999998</v>
      </c>
    </row>
    <row r="47" spans="1:16" ht="6" customHeight="1" x14ac:dyDescent="0.3"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P47" s="3"/>
    </row>
    <row r="48" spans="1:16" ht="15.5" x14ac:dyDescent="0.35">
      <c r="A48" s="17" t="s">
        <v>38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P48" s="3"/>
    </row>
    <row r="49" spans="1:16" ht="13" x14ac:dyDescent="0.3">
      <c r="B49" t="s">
        <v>39</v>
      </c>
      <c r="C49" s="13">
        <f>'P_L Workings'!AP145</f>
        <v>10000</v>
      </c>
      <c r="D49" s="13">
        <f>'P_L Workings'!AQ145</f>
        <v>10000</v>
      </c>
      <c r="E49" s="13">
        <f>'P_L Workings'!AR145</f>
        <v>10000</v>
      </c>
      <c r="F49" s="13">
        <f>'P_L Workings'!AS145</f>
        <v>10000</v>
      </c>
      <c r="G49" s="13">
        <f>'P_L Workings'!AT145</f>
        <v>10000</v>
      </c>
      <c r="H49" s="13">
        <f>'P_L Workings'!AU145</f>
        <v>10000</v>
      </c>
      <c r="I49" s="13">
        <f>'P_L Workings'!AV145</f>
        <v>10000</v>
      </c>
      <c r="J49" s="13">
        <f>'P_L Workings'!AW145</f>
        <v>10000</v>
      </c>
      <c r="K49" s="13">
        <f>'P_L Workings'!AX145</f>
        <v>10000</v>
      </c>
      <c r="L49" s="13">
        <f>'P_L Workings'!AY145</f>
        <v>10000</v>
      </c>
      <c r="M49" s="13">
        <f>'P_L Workings'!AZ145</f>
        <v>10000</v>
      </c>
      <c r="N49" s="13">
        <f>'P_L Workings'!BA145</f>
        <v>10000</v>
      </c>
      <c r="P49" s="2">
        <f>SUM(C49:N49)</f>
        <v>120000</v>
      </c>
    </row>
    <row r="50" spans="1:16" ht="13" x14ac:dyDescent="0.3">
      <c r="B50" t="s">
        <v>40</v>
      </c>
      <c r="C50" s="13">
        <f>'P_L Workings'!AP146</f>
        <v>6250</v>
      </c>
      <c r="D50" s="13">
        <f>'P_L Workings'!AQ146</f>
        <v>6250</v>
      </c>
      <c r="E50" s="13">
        <f>'P_L Workings'!AR146</f>
        <v>6250</v>
      </c>
      <c r="F50" s="13">
        <f>'P_L Workings'!AS146</f>
        <v>6250</v>
      </c>
      <c r="G50" s="13">
        <f>'P_L Workings'!AT146</f>
        <v>6250</v>
      </c>
      <c r="H50" s="13">
        <f>'P_L Workings'!AU146</f>
        <v>6250</v>
      </c>
      <c r="I50" s="13">
        <f>'P_L Workings'!AV146</f>
        <v>6250</v>
      </c>
      <c r="J50" s="13">
        <f>'P_L Workings'!AW146</f>
        <v>6250</v>
      </c>
      <c r="K50" s="13">
        <f>'P_L Workings'!AX146</f>
        <v>6250</v>
      </c>
      <c r="L50" s="13">
        <f>'P_L Workings'!AY146</f>
        <v>6250</v>
      </c>
      <c r="M50" s="13">
        <f>'P_L Workings'!AZ146</f>
        <v>6250</v>
      </c>
      <c r="N50" s="13">
        <f>'P_L Workings'!BA146</f>
        <v>6250</v>
      </c>
      <c r="P50" s="2">
        <f>SUM(C50:N50)</f>
        <v>75000</v>
      </c>
    </row>
    <row r="51" spans="1:16" ht="13" x14ac:dyDescent="0.3">
      <c r="B51" t="s">
        <v>41</v>
      </c>
      <c r="C51" s="13">
        <f>'P_L Workings'!AP147</f>
        <v>4166.666666666667</v>
      </c>
      <c r="D51" s="13">
        <f>'P_L Workings'!AQ147</f>
        <v>4166.666666666667</v>
      </c>
      <c r="E51" s="13">
        <f>'P_L Workings'!AR147</f>
        <v>4166.666666666667</v>
      </c>
      <c r="F51" s="13">
        <f>'P_L Workings'!AS147</f>
        <v>4166.666666666667</v>
      </c>
      <c r="G51" s="13">
        <f>'P_L Workings'!AT147</f>
        <v>4166.666666666667</v>
      </c>
      <c r="H51" s="13">
        <f>'P_L Workings'!AU147</f>
        <v>4166.666666666667</v>
      </c>
      <c r="I51" s="13">
        <f>'P_L Workings'!AV147</f>
        <v>4166.666666666667</v>
      </c>
      <c r="J51" s="13">
        <f>'P_L Workings'!AW147</f>
        <v>4166.666666666667</v>
      </c>
      <c r="K51" s="13">
        <f>'P_L Workings'!AX147</f>
        <v>4166.666666666667</v>
      </c>
      <c r="L51" s="13">
        <f>'P_L Workings'!AY147</f>
        <v>4166.666666666667</v>
      </c>
      <c r="M51" s="13">
        <f>'P_L Workings'!AZ147</f>
        <v>4166.666666666667</v>
      </c>
      <c r="N51" s="13">
        <f>'P_L Workings'!BA147</f>
        <v>4166.666666666667</v>
      </c>
      <c r="P51" s="2">
        <f>SUM(C51:N51)</f>
        <v>49999.999999999993</v>
      </c>
    </row>
    <row r="52" spans="1:16" ht="13" x14ac:dyDescent="0.3">
      <c r="B52" t="s">
        <v>42</v>
      </c>
      <c r="C52" s="13">
        <f>'P_L Workings'!AP148</f>
        <v>8333.3333333333339</v>
      </c>
      <c r="D52" s="13">
        <f>'P_L Workings'!AQ148</f>
        <v>8333.3333333333339</v>
      </c>
      <c r="E52" s="13">
        <f>'P_L Workings'!AR148</f>
        <v>8333.3333333333339</v>
      </c>
      <c r="F52" s="13">
        <f>'P_L Workings'!AS148</f>
        <v>8333.3333333333339</v>
      </c>
      <c r="G52" s="13">
        <f>'P_L Workings'!AT148</f>
        <v>8333.3333333333339</v>
      </c>
      <c r="H52" s="13">
        <f>'P_L Workings'!AU148</f>
        <v>8333.3333333333339</v>
      </c>
      <c r="I52" s="13">
        <f>'P_L Workings'!AV148</f>
        <v>8333.3333333333339</v>
      </c>
      <c r="J52" s="13">
        <f>'P_L Workings'!AW148</f>
        <v>8333.3333333333339</v>
      </c>
      <c r="K52" s="13">
        <f>'P_L Workings'!AX148</f>
        <v>8333.3333333333339</v>
      </c>
      <c r="L52" s="13">
        <f>'P_L Workings'!AY148</f>
        <v>8333.3333333333339</v>
      </c>
      <c r="M52" s="13">
        <f>'P_L Workings'!AZ148</f>
        <v>8333.3333333333339</v>
      </c>
      <c r="N52" s="13">
        <f>'P_L Workings'!BA148</f>
        <v>8333.3333333333339</v>
      </c>
      <c r="P52" s="2">
        <f>SUM(C52:N52)</f>
        <v>99999.999999999985</v>
      </c>
    </row>
    <row r="53" spans="1:16" ht="14" x14ac:dyDescent="0.3">
      <c r="B53" s="19" t="s">
        <v>3</v>
      </c>
      <c r="C53" s="15">
        <f t="shared" ref="C53:N53" si="4">SUM(C49:C52)</f>
        <v>28750</v>
      </c>
      <c r="D53" s="15">
        <f t="shared" si="4"/>
        <v>28750</v>
      </c>
      <c r="E53" s="15">
        <f t="shared" si="4"/>
        <v>28750</v>
      </c>
      <c r="F53" s="15">
        <f t="shared" si="4"/>
        <v>28750</v>
      </c>
      <c r="G53" s="15">
        <f t="shared" si="4"/>
        <v>28750</v>
      </c>
      <c r="H53" s="15">
        <f t="shared" si="4"/>
        <v>28750</v>
      </c>
      <c r="I53" s="15">
        <f t="shared" si="4"/>
        <v>28750</v>
      </c>
      <c r="J53" s="15">
        <f t="shared" si="4"/>
        <v>28750</v>
      </c>
      <c r="K53" s="15">
        <f t="shared" si="4"/>
        <v>28750</v>
      </c>
      <c r="L53" s="15">
        <f t="shared" si="4"/>
        <v>28750</v>
      </c>
      <c r="M53" s="15">
        <f t="shared" si="4"/>
        <v>28750</v>
      </c>
      <c r="N53" s="15">
        <f t="shared" si="4"/>
        <v>28750</v>
      </c>
      <c r="P53" s="15">
        <f>SUM(P49:P52)</f>
        <v>345000</v>
      </c>
    </row>
    <row r="54" spans="1:16" ht="6" customHeight="1" x14ac:dyDescent="0.3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P54" s="3"/>
    </row>
    <row r="55" spans="1:16" ht="15.5" x14ac:dyDescent="0.35">
      <c r="A55" s="17" t="s">
        <v>43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P55" s="3"/>
    </row>
    <row r="56" spans="1:16" ht="13" x14ac:dyDescent="0.3">
      <c r="B56" t="s">
        <v>44</v>
      </c>
      <c r="C56" s="13">
        <f>'P_L Workings'!AP152</f>
        <v>23750</v>
      </c>
      <c r="D56" s="13">
        <f>'P_L Workings'!AQ152</f>
        <v>23750</v>
      </c>
      <c r="E56" s="13">
        <f>'P_L Workings'!AR152</f>
        <v>23750</v>
      </c>
      <c r="F56" s="13">
        <f>'P_L Workings'!AS152</f>
        <v>23750</v>
      </c>
      <c r="G56" s="13">
        <f>'P_L Workings'!AT152</f>
        <v>23750</v>
      </c>
      <c r="H56" s="13">
        <f>'P_L Workings'!AU152</f>
        <v>23750</v>
      </c>
      <c r="I56" s="13">
        <f>'P_L Workings'!AV152</f>
        <v>23750</v>
      </c>
      <c r="J56" s="13">
        <f>'P_L Workings'!AW152</f>
        <v>23750</v>
      </c>
      <c r="K56" s="13">
        <f>'P_L Workings'!AX152</f>
        <v>23750</v>
      </c>
      <c r="L56" s="13">
        <f>'P_L Workings'!AY152</f>
        <v>23750</v>
      </c>
      <c r="M56" s="13">
        <f>'P_L Workings'!AZ152</f>
        <v>23750</v>
      </c>
      <c r="N56" s="13">
        <f>'P_L Workings'!BA152</f>
        <v>23750</v>
      </c>
      <c r="P56" s="2">
        <f>SUM(C56:N56)</f>
        <v>285000</v>
      </c>
    </row>
    <row r="57" spans="1:16" ht="13" x14ac:dyDescent="0.3">
      <c r="B57" t="s">
        <v>45</v>
      </c>
      <c r="C57" s="13">
        <f>'P_L Workings'!AP153</f>
        <v>3375</v>
      </c>
      <c r="D57" s="13">
        <f>'P_L Workings'!AQ153</f>
        <v>3375</v>
      </c>
      <c r="E57" s="13">
        <f>'P_L Workings'!AR153</f>
        <v>3375</v>
      </c>
      <c r="F57" s="13">
        <f>'P_L Workings'!AS153</f>
        <v>3375</v>
      </c>
      <c r="G57" s="13">
        <f>'P_L Workings'!AT153</f>
        <v>3375</v>
      </c>
      <c r="H57" s="13">
        <f>'P_L Workings'!AU153</f>
        <v>3375</v>
      </c>
      <c r="I57" s="13">
        <f>'P_L Workings'!AV153</f>
        <v>3375</v>
      </c>
      <c r="J57" s="13">
        <f>'P_L Workings'!AW153</f>
        <v>3375</v>
      </c>
      <c r="K57" s="13">
        <f>'P_L Workings'!AX153</f>
        <v>3375</v>
      </c>
      <c r="L57" s="13">
        <f>'P_L Workings'!AY153</f>
        <v>3375</v>
      </c>
      <c r="M57" s="13">
        <f>'P_L Workings'!AZ153</f>
        <v>3375</v>
      </c>
      <c r="N57" s="13">
        <f>'P_L Workings'!BA153</f>
        <v>3375</v>
      </c>
      <c r="P57" s="2">
        <f>SUM(C57:N57)</f>
        <v>40500</v>
      </c>
    </row>
    <row r="58" spans="1:16" ht="13" x14ac:dyDescent="0.3">
      <c r="B58" t="s">
        <v>46</v>
      </c>
      <c r="C58" s="13">
        <f>'P_L Workings'!AP154</f>
        <v>20833.333333333332</v>
      </c>
      <c r="D58" s="13">
        <f>'P_L Workings'!AQ154</f>
        <v>20833.333333333332</v>
      </c>
      <c r="E58" s="13">
        <f>'P_L Workings'!AR154</f>
        <v>20833.333333333332</v>
      </c>
      <c r="F58" s="13">
        <f>'P_L Workings'!AS154</f>
        <v>20833.333333333332</v>
      </c>
      <c r="G58" s="13">
        <f>'P_L Workings'!AT154</f>
        <v>20833.333333333332</v>
      </c>
      <c r="H58" s="13">
        <f>'P_L Workings'!AU154</f>
        <v>20833.333333333332</v>
      </c>
      <c r="I58" s="13">
        <f>'P_L Workings'!AV154</f>
        <v>20833.333333333332</v>
      </c>
      <c r="J58" s="13">
        <f>'P_L Workings'!AW154</f>
        <v>20833.333333333332</v>
      </c>
      <c r="K58" s="13">
        <f>'P_L Workings'!AX154</f>
        <v>20833.333333333332</v>
      </c>
      <c r="L58" s="13">
        <f>'P_L Workings'!AY154</f>
        <v>20833.333333333332</v>
      </c>
      <c r="M58" s="13">
        <f>'P_L Workings'!AZ154</f>
        <v>20833.333333333332</v>
      </c>
      <c r="N58" s="13">
        <f>'P_L Workings'!BA154</f>
        <v>20833.333333333332</v>
      </c>
      <c r="P58" s="2">
        <f>SUM(C58:N58)</f>
        <v>250000.00000000003</v>
      </c>
    </row>
    <row r="59" spans="1:16" ht="13" x14ac:dyDescent="0.3">
      <c r="B59" t="s">
        <v>47</v>
      </c>
      <c r="C59" s="13">
        <f>'P_L Workings'!AP155</f>
        <v>5062.5</v>
      </c>
      <c r="D59" s="13">
        <f>'P_L Workings'!AQ155</f>
        <v>5062.5</v>
      </c>
      <c r="E59" s="13">
        <f>'P_L Workings'!AR155</f>
        <v>5062.5</v>
      </c>
      <c r="F59" s="13">
        <f>'P_L Workings'!AS155</f>
        <v>5062.5</v>
      </c>
      <c r="G59" s="13">
        <f>'P_L Workings'!AT155</f>
        <v>5062.5</v>
      </c>
      <c r="H59" s="13">
        <f>'P_L Workings'!AU155</f>
        <v>5062.5</v>
      </c>
      <c r="I59" s="13">
        <f>'P_L Workings'!AV155</f>
        <v>5062.5</v>
      </c>
      <c r="J59" s="13">
        <f>'P_L Workings'!AW155</f>
        <v>5062.5</v>
      </c>
      <c r="K59" s="13">
        <f>'P_L Workings'!AX155</f>
        <v>5062.5</v>
      </c>
      <c r="L59" s="13">
        <f>'P_L Workings'!AY155</f>
        <v>5062.5</v>
      </c>
      <c r="M59" s="13">
        <f>'P_L Workings'!AZ155</f>
        <v>5062.5</v>
      </c>
      <c r="N59" s="13">
        <f>'P_L Workings'!BA155</f>
        <v>5062.5</v>
      </c>
      <c r="P59" s="2">
        <f>SUM(C59:N59)</f>
        <v>60750</v>
      </c>
    </row>
    <row r="60" spans="1:16" ht="13" x14ac:dyDescent="0.3">
      <c r="B60" t="s">
        <v>48</v>
      </c>
      <c r="C60" s="13">
        <f>'P_L Workings'!AP156</f>
        <v>1125</v>
      </c>
      <c r="D60" s="13">
        <f>'P_L Workings'!AQ156</f>
        <v>1125</v>
      </c>
      <c r="E60" s="13">
        <f>'P_L Workings'!AR156</f>
        <v>1125</v>
      </c>
      <c r="F60" s="13">
        <f>'P_L Workings'!AS156</f>
        <v>1125</v>
      </c>
      <c r="G60" s="13">
        <f>'P_L Workings'!AT156</f>
        <v>1125</v>
      </c>
      <c r="H60" s="13">
        <f>'P_L Workings'!AU156</f>
        <v>1125</v>
      </c>
      <c r="I60" s="13">
        <f>'P_L Workings'!AV156</f>
        <v>1125</v>
      </c>
      <c r="J60" s="13">
        <f>'P_L Workings'!AW156</f>
        <v>1125</v>
      </c>
      <c r="K60" s="13">
        <f>'P_L Workings'!AX156</f>
        <v>1125</v>
      </c>
      <c r="L60" s="13">
        <f>'P_L Workings'!AY156</f>
        <v>1125</v>
      </c>
      <c r="M60" s="13">
        <f>'P_L Workings'!AZ156</f>
        <v>1125</v>
      </c>
      <c r="N60" s="13">
        <f>'P_L Workings'!BA156</f>
        <v>1125</v>
      </c>
      <c r="P60" s="2">
        <f>SUM(C60:N60)</f>
        <v>13500</v>
      </c>
    </row>
    <row r="61" spans="1:16" ht="14" x14ac:dyDescent="0.3">
      <c r="B61" s="19" t="s">
        <v>3</v>
      </c>
      <c r="C61" s="15">
        <f t="shared" ref="C61:N61" si="5">SUM(C56:C60)</f>
        <v>54145.833333333328</v>
      </c>
      <c r="D61" s="15">
        <f t="shared" si="5"/>
        <v>54145.833333333328</v>
      </c>
      <c r="E61" s="15">
        <f t="shared" si="5"/>
        <v>54145.833333333328</v>
      </c>
      <c r="F61" s="15">
        <f t="shared" si="5"/>
        <v>54145.833333333328</v>
      </c>
      <c r="G61" s="15">
        <f t="shared" si="5"/>
        <v>54145.833333333328</v>
      </c>
      <c r="H61" s="15">
        <f t="shared" si="5"/>
        <v>54145.833333333328</v>
      </c>
      <c r="I61" s="15">
        <f t="shared" si="5"/>
        <v>54145.833333333328</v>
      </c>
      <c r="J61" s="15">
        <f t="shared" si="5"/>
        <v>54145.833333333328</v>
      </c>
      <c r="K61" s="15">
        <f t="shared" si="5"/>
        <v>54145.833333333328</v>
      </c>
      <c r="L61" s="15">
        <f t="shared" si="5"/>
        <v>54145.833333333328</v>
      </c>
      <c r="M61" s="15">
        <f t="shared" si="5"/>
        <v>54145.833333333328</v>
      </c>
      <c r="N61" s="15">
        <f t="shared" si="5"/>
        <v>54145.833333333328</v>
      </c>
      <c r="P61" s="15">
        <f>SUM(P56:P60)</f>
        <v>649750</v>
      </c>
    </row>
    <row r="62" spans="1:16" ht="6" customHeight="1" x14ac:dyDescent="0.3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P62" s="3"/>
    </row>
    <row r="63" spans="1:16" ht="15.5" x14ac:dyDescent="0.35">
      <c r="A63" s="17" t="s">
        <v>49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P63" s="3"/>
    </row>
    <row r="64" spans="1:16" ht="13" x14ac:dyDescent="0.3">
      <c r="B64" t="s">
        <v>49</v>
      </c>
      <c r="C64" s="18">
        <f>'P_L Workings'!AP163</f>
        <v>66285.71428571429</v>
      </c>
      <c r="D64" s="18">
        <f>'P_L Workings'!AQ163</f>
        <v>70857.142857142855</v>
      </c>
      <c r="E64" s="18">
        <f>'P_L Workings'!AR163</f>
        <v>68571.42857142858</v>
      </c>
      <c r="F64" s="18">
        <f>'P_L Workings'!AS163</f>
        <v>70857.142857142855</v>
      </c>
      <c r="G64" s="18">
        <f>'P_L Workings'!AT163</f>
        <v>70857.142857142855</v>
      </c>
      <c r="H64" s="18">
        <f>'P_L Workings'!AU163</f>
        <v>68571.42857142858</v>
      </c>
      <c r="I64" s="18">
        <f>'P_L Workings'!AV163</f>
        <v>70857.142857142855</v>
      </c>
      <c r="J64" s="18">
        <f>'P_L Workings'!AW163</f>
        <v>66285.71428571429</v>
      </c>
      <c r="K64" s="18">
        <f>'P_L Workings'!AX163</f>
        <v>70857.142857142855</v>
      </c>
      <c r="L64" s="18">
        <f>'P_L Workings'!AY163</f>
        <v>43428.571428571428</v>
      </c>
      <c r="M64" s="18">
        <f>'P_L Workings'!AZ163</f>
        <v>61714.285714285717</v>
      </c>
      <c r="N64" s="18">
        <f>'P_L Workings'!BA163</f>
        <v>70857.142857142855</v>
      </c>
      <c r="P64" s="18">
        <f>SUM(C64:N64)</f>
        <v>800000</v>
      </c>
    </row>
    <row r="65" spans="1:16" ht="14" hidden="1" x14ac:dyDescent="0.3">
      <c r="B65" s="19" t="s">
        <v>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P65" s="3"/>
    </row>
    <row r="66" spans="1:16" ht="6" customHeight="1" x14ac:dyDescent="0.3"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P66" s="3"/>
    </row>
    <row r="67" spans="1:16" ht="15.5" x14ac:dyDescent="0.35">
      <c r="A67" s="17" t="s">
        <v>50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P67" s="3"/>
    </row>
    <row r="68" spans="1:16" ht="13.5" customHeight="1" x14ac:dyDescent="0.35">
      <c r="A68" s="17"/>
      <c r="B68" t="s">
        <v>51</v>
      </c>
      <c r="C68" s="13">
        <f>'P_L Workings'!AP166</f>
        <v>182.0145685633006</v>
      </c>
      <c r="D68" s="13">
        <f>'P_L Workings'!AQ166</f>
        <v>178.98099242057893</v>
      </c>
      <c r="E68" s="13">
        <f>'P_L Workings'!AR166</f>
        <v>175.997975880236</v>
      </c>
      <c r="F68" s="13">
        <f>'P_L Workings'!AS166</f>
        <v>173.06467628223206</v>
      </c>
      <c r="G68" s="13">
        <f>'P_L Workings'!AT166</f>
        <v>170.18026501086149</v>
      </c>
      <c r="H68" s="13">
        <f>'P_L Workings'!AU166</f>
        <v>167.34392726068046</v>
      </c>
      <c r="I68" s="13">
        <f>'P_L Workings'!AV166</f>
        <v>164.55486180633577</v>
      </c>
      <c r="J68" s="13">
        <f>'P_L Workings'!AW166</f>
        <v>161.81228077623018</v>
      </c>
      <c r="K68" s="13">
        <f>'P_L Workings'!AX166</f>
        <v>159.11540942995967</v>
      </c>
      <c r="L68" s="13">
        <f>'P_L Workings'!AY166</f>
        <v>156.46348593946036</v>
      </c>
      <c r="M68" s="13">
        <f>'P_L Workings'!AZ166</f>
        <v>153.85576117380268</v>
      </c>
      <c r="N68" s="13">
        <f>'P_L Workings'!BA166</f>
        <v>151.29149848757262</v>
      </c>
      <c r="P68" s="2">
        <f>SUM(C68:N68)</f>
        <v>1994.6757030312508</v>
      </c>
    </row>
    <row r="69" spans="1:16" ht="13.5" customHeight="1" x14ac:dyDescent="0.35">
      <c r="A69" s="17"/>
      <c r="B69" t="s">
        <v>52</v>
      </c>
      <c r="C69" s="13">
        <f>P_L!AP69</f>
        <v>0</v>
      </c>
      <c r="D69" s="13">
        <f>P_L!AQ69</f>
        <v>0</v>
      </c>
      <c r="E69" s="13">
        <f>P_L!AR69</f>
        <v>0</v>
      </c>
      <c r="F69" s="13">
        <f>P_L!AS69</f>
        <v>0</v>
      </c>
      <c r="G69" s="13">
        <f>P_L!AT69</f>
        <v>0</v>
      </c>
      <c r="H69" s="13">
        <f>P_L!AU69</f>
        <v>0</v>
      </c>
      <c r="I69" s="13">
        <f>P_L!AV69</f>
        <v>0</v>
      </c>
      <c r="J69" s="13">
        <f>P_L!AW69</f>
        <v>0</v>
      </c>
      <c r="K69" s="13">
        <f>P_L!AX69</f>
        <v>0</v>
      </c>
      <c r="L69" s="13">
        <f>P_L!AY69</f>
        <v>0</v>
      </c>
      <c r="M69" s="13">
        <f>P_L!AZ69</f>
        <v>0</v>
      </c>
      <c r="N69" s="13">
        <f>P_L!BA69</f>
        <v>0</v>
      </c>
      <c r="P69" s="2">
        <f>SUM(C69:N69)</f>
        <v>0</v>
      </c>
    </row>
    <row r="70" spans="1:16" ht="13" x14ac:dyDescent="0.3">
      <c r="B70" t="s">
        <v>53</v>
      </c>
      <c r="C70" s="13">
        <f>'P_L Workings'!AP168</f>
        <v>6250</v>
      </c>
      <c r="D70" s="13">
        <f>'P_L Workings'!AQ168</f>
        <v>6250</v>
      </c>
      <c r="E70" s="13">
        <f>'P_L Workings'!AR168</f>
        <v>6250</v>
      </c>
      <c r="F70" s="13">
        <f>'P_L Workings'!AS168</f>
        <v>6250</v>
      </c>
      <c r="G70" s="13">
        <f>'P_L Workings'!AT168</f>
        <v>6250</v>
      </c>
      <c r="H70" s="13">
        <f>'P_L Workings'!AU168</f>
        <v>6250</v>
      </c>
      <c r="I70" s="13">
        <f>'P_L Workings'!AV168</f>
        <v>6250</v>
      </c>
      <c r="J70" s="13">
        <f>'P_L Workings'!AW168</f>
        <v>6250</v>
      </c>
      <c r="K70" s="13">
        <f>'P_L Workings'!AX168</f>
        <v>6250</v>
      </c>
      <c r="L70" s="13">
        <f>'P_L Workings'!AY168</f>
        <v>6250</v>
      </c>
      <c r="M70" s="13">
        <f>'P_L Workings'!AZ168</f>
        <v>6250</v>
      </c>
      <c r="N70" s="13">
        <f>'P_L Workings'!BA168</f>
        <v>6250</v>
      </c>
      <c r="P70" s="2">
        <f>SUM(C70:N70)</f>
        <v>75000</v>
      </c>
    </row>
    <row r="71" spans="1:16" ht="13" x14ac:dyDescent="0.3">
      <c r="B71" t="s">
        <v>54</v>
      </c>
      <c r="C71" s="13">
        <f>'P_L Workings'!AP169</f>
        <v>0</v>
      </c>
      <c r="D71" s="13">
        <f>'P_L Workings'!AQ169</f>
        <v>0</v>
      </c>
      <c r="E71" s="13">
        <f>'P_L Workings'!AR169</f>
        <v>0</v>
      </c>
      <c r="F71" s="13">
        <f>'P_L Workings'!AS169</f>
        <v>0</v>
      </c>
      <c r="G71" s="13">
        <f>'P_L Workings'!AT169</f>
        <v>0</v>
      </c>
      <c r="H71" s="13">
        <f>'P_L Workings'!AU169</f>
        <v>0</v>
      </c>
      <c r="I71" s="13">
        <f>'P_L Workings'!AV169</f>
        <v>0</v>
      </c>
      <c r="J71" s="13">
        <f>'P_L Workings'!AW169</f>
        <v>0</v>
      </c>
      <c r="K71" s="13">
        <f>'P_L Workings'!AX169</f>
        <v>0</v>
      </c>
      <c r="L71" s="13">
        <f>'P_L Workings'!AY169</f>
        <v>0</v>
      </c>
      <c r="M71" s="13">
        <f>'P_L Workings'!AZ169</f>
        <v>0</v>
      </c>
      <c r="N71" s="13">
        <f>'P_L Workings'!BA169</f>
        <v>0</v>
      </c>
      <c r="P71" s="2">
        <f>SUM(C71:N71)</f>
        <v>0</v>
      </c>
    </row>
    <row r="72" spans="1:16" ht="14" x14ac:dyDescent="0.3">
      <c r="B72" s="19" t="s">
        <v>3</v>
      </c>
      <c r="C72" s="15">
        <f t="shared" ref="C72:N72" si="6">SUM(C68:C71)</f>
        <v>6432.0145685633006</v>
      </c>
      <c r="D72" s="15">
        <f t="shared" si="6"/>
        <v>6428.9809924205792</v>
      </c>
      <c r="E72" s="15">
        <f t="shared" si="6"/>
        <v>6425.9979758802356</v>
      </c>
      <c r="F72" s="15">
        <f t="shared" si="6"/>
        <v>6423.0646762822316</v>
      </c>
      <c r="G72" s="15">
        <f t="shared" si="6"/>
        <v>6420.1802650108611</v>
      </c>
      <c r="H72" s="15">
        <f t="shared" si="6"/>
        <v>6417.3439272606802</v>
      </c>
      <c r="I72" s="15">
        <f t="shared" si="6"/>
        <v>6414.5548618063358</v>
      </c>
      <c r="J72" s="15">
        <f t="shared" si="6"/>
        <v>6411.8122807762302</v>
      </c>
      <c r="K72" s="15">
        <f t="shared" si="6"/>
        <v>6409.11540942996</v>
      </c>
      <c r="L72" s="15">
        <f t="shared" si="6"/>
        <v>6406.46348593946</v>
      </c>
      <c r="M72" s="15">
        <f t="shared" si="6"/>
        <v>6403.8557611738024</v>
      </c>
      <c r="N72" s="15">
        <f t="shared" si="6"/>
        <v>6401.2914984875724</v>
      </c>
      <c r="P72" s="15">
        <f>SUM(P68:P71)</f>
        <v>76994.675703031244</v>
      </c>
    </row>
    <row r="73" spans="1:16" ht="12" customHeight="1" x14ac:dyDescent="0.3"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P73" s="3"/>
    </row>
    <row r="74" spans="1:16" ht="15.5" x14ac:dyDescent="0.35">
      <c r="A74" s="4" t="s">
        <v>55</v>
      </c>
      <c r="C74" s="15">
        <f t="shared" ref="C74:N74" si="7">C72+C64+C61+C53+C46+C29+C23</f>
        <v>1413317.5412352299</v>
      </c>
      <c r="D74" s="15">
        <f t="shared" si="7"/>
        <v>1468321.1876590871</v>
      </c>
      <c r="E74" s="15">
        <f t="shared" si="7"/>
        <v>1440814.8646425467</v>
      </c>
      <c r="F74" s="15">
        <f t="shared" si="7"/>
        <v>1468315.2713429488</v>
      </c>
      <c r="G74" s="15">
        <f t="shared" si="7"/>
        <v>1468312.3869316773</v>
      </c>
      <c r="H74" s="15">
        <f t="shared" si="7"/>
        <v>1440806.2105939272</v>
      </c>
      <c r="I74" s="15">
        <f t="shared" si="7"/>
        <v>1468306.7615284729</v>
      </c>
      <c r="J74" s="15">
        <f t="shared" si="7"/>
        <v>1413297.3389474428</v>
      </c>
      <c r="K74" s="15">
        <f t="shared" si="7"/>
        <v>1468301.3220760964</v>
      </c>
      <c r="L74" s="15">
        <f t="shared" si="7"/>
        <v>1138258.5901526064</v>
      </c>
      <c r="M74" s="15">
        <f t="shared" si="7"/>
        <v>1358282.7024278403</v>
      </c>
      <c r="N74" s="15">
        <f t="shared" si="7"/>
        <v>1468293.4981651541</v>
      </c>
      <c r="P74" s="15">
        <f>P72+P64+P61+P53+P46+P29+P23</f>
        <v>17014627.67570303</v>
      </c>
    </row>
    <row r="75" spans="1:16" ht="13" x14ac:dyDescent="0.3"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P75" s="16"/>
    </row>
    <row r="76" spans="1:16" ht="15.5" x14ac:dyDescent="0.35">
      <c r="A76" s="4" t="s">
        <v>56</v>
      </c>
      <c r="C76" s="22">
        <f t="shared" ref="C76:N76" si="8">C18-C74</f>
        <v>288076.93376476993</v>
      </c>
      <c r="D76" s="22">
        <f t="shared" si="8"/>
        <v>318969.55234091287</v>
      </c>
      <c r="E76" s="22">
        <f t="shared" si="8"/>
        <v>375388.4353574533</v>
      </c>
      <c r="F76" s="22">
        <f t="shared" si="8"/>
        <v>514708.53865705128</v>
      </c>
      <c r="G76" s="22">
        <f t="shared" si="8"/>
        <v>514711.42306832271</v>
      </c>
      <c r="H76" s="22">
        <f t="shared" si="8"/>
        <v>264831.18940607272</v>
      </c>
      <c r="I76" s="22">
        <f t="shared" si="8"/>
        <v>294185.2184715271</v>
      </c>
      <c r="J76" s="22">
        <f t="shared" si="8"/>
        <v>229271.50605255738</v>
      </c>
      <c r="K76" s="22">
        <f t="shared" si="8"/>
        <v>318989.41792390356</v>
      </c>
      <c r="L76" s="22">
        <f t="shared" si="8"/>
        <v>-62092.79515260621</v>
      </c>
      <c r="M76" s="22">
        <f t="shared" si="8"/>
        <v>171005.53257215978</v>
      </c>
      <c r="N76" s="22">
        <f t="shared" si="8"/>
        <v>287555.95683484594</v>
      </c>
      <c r="P76" s="22">
        <f>P18-P74</f>
        <v>3515600.9092969708</v>
      </c>
    </row>
    <row r="78" spans="1:16" x14ac:dyDescent="0.25">
      <c r="N78" s="1"/>
    </row>
  </sheetData>
  <pageMargins left="0.74791666666666667" right="0.74791666666666667" top="0.98402777777777783" bottom="0.98402777777777783" header="0.51180555555555562" footer="0.51180555555555562"/>
  <pageSetup paperSize="9" scale="55" firstPageNumber="0" orientation="landscape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208"/>
  <sheetViews>
    <sheetView zoomScaleSheetLayoutView="75" workbookViewId="0">
      <pane xSplit="2" ySplit="7" topLeftCell="J8" activePane="bottomRight" state="frozen"/>
      <selection pane="topRight" activeCell="J1" sqref="J1"/>
      <selection pane="bottomLeft" activeCell="A61" sqref="A61"/>
      <selection pane="bottomRight"/>
    </sheetView>
  </sheetViews>
  <sheetFormatPr defaultRowHeight="13" x14ac:dyDescent="0.3"/>
  <cols>
    <col min="1" max="1" width="2.453125" customWidth="1"/>
    <col min="2" max="2" width="28.81640625" customWidth="1"/>
    <col min="3" max="4" width="10.7265625" style="1" customWidth="1"/>
    <col min="5" max="5" width="10.7265625" style="2" customWidth="1"/>
    <col min="6" max="53" width="10.7265625" customWidth="1"/>
  </cols>
  <sheetData>
    <row r="1" spans="1:53" ht="15.5" x14ac:dyDescent="0.35">
      <c r="A1" s="4" t="s">
        <v>242</v>
      </c>
      <c r="B1" s="5"/>
    </row>
    <row r="2" spans="1:53" ht="15.5" x14ac:dyDescent="0.35">
      <c r="A2" s="4" t="s">
        <v>80</v>
      </c>
      <c r="B2" s="5"/>
    </row>
    <row r="3" spans="1:53" ht="15.5" x14ac:dyDescent="0.35">
      <c r="A3" s="4" t="s">
        <v>81</v>
      </c>
      <c r="B3" s="5"/>
    </row>
    <row r="5" spans="1:53" s="1" customFormat="1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</row>
    <row r="6" spans="1:53" s="9" customFormat="1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</row>
    <row r="7" spans="1:53" s="9" customFormat="1" ht="15.5" x14ac:dyDescent="0.35">
      <c r="A7" s="4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12.5" x14ac:dyDescent="0.25">
      <c r="B8" t="s">
        <v>8</v>
      </c>
      <c r="C8" s="13">
        <f>'P_L Workings'!C46</f>
        <v>0</v>
      </c>
      <c r="D8" s="13">
        <f>'P_L Workings'!D46</f>
        <v>0</v>
      </c>
      <c r="E8" s="13">
        <f>'P_L Workings'!E46</f>
        <v>329000</v>
      </c>
      <c r="F8" s="13">
        <f>'P_L Workings'!F46</f>
        <v>1390274.5</v>
      </c>
      <c r="G8" s="13">
        <f>'P_L Workings'!G46</f>
        <v>1486155.5</v>
      </c>
      <c r="H8" s="13">
        <f>'P_L Workings'!H46</f>
        <v>1523925</v>
      </c>
      <c r="I8" s="13">
        <f>'P_L Workings'!I46</f>
        <v>1663289.5</v>
      </c>
      <c r="J8" s="13">
        <f>'P_L Workings'!J46</f>
        <v>1663289.5</v>
      </c>
      <c r="K8" s="13">
        <f>'P_L Workings'!K46</f>
        <v>1438215</v>
      </c>
      <c r="L8" s="13">
        <f>'P_L Workings'!L46</f>
        <v>1486155.5</v>
      </c>
      <c r="M8" s="13">
        <f>'P_L Workings'!M46</f>
        <v>1390274.5</v>
      </c>
      <c r="N8" s="13">
        <f>'P_L Workings'!N46</f>
        <v>1512725.5999999999</v>
      </c>
      <c r="O8" s="13">
        <f>'P_L Workings'!O46</f>
        <v>910869.5</v>
      </c>
      <c r="P8" s="13">
        <f>'P_L Workings'!P46</f>
        <v>1294393.5</v>
      </c>
      <c r="Q8" s="13">
        <f>'P_L Workings'!Q46</f>
        <v>1486155.5</v>
      </c>
      <c r="R8" s="13">
        <f>'P_L Workings'!R46</f>
        <v>1470851.7250000001</v>
      </c>
      <c r="S8" s="13">
        <f>'P_L Workings'!S46</f>
        <v>1572289.7750000001</v>
      </c>
      <c r="T8" s="13">
        <f>'P_L Workings'!T46</f>
        <v>1617994.5</v>
      </c>
      <c r="U8" s="13">
        <f>'P_L Workings'!U46</f>
        <v>1778208.05</v>
      </c>
      <c r="V8" s="13">
        <f>'P_L Workings'!V46</f>
        <v>1778208.05</v>
      </c>
      <c r="W8" s="13">
        <f>'P_L Workings'!W46</f>
        <v>1521570.75</v>
      </c>
      <c r="X8" s="13">
        <f>'P_L Workings'!X46</f>
        <v>1572289.7750000001</v>
      </c>
      <c r="Y8" s="13">
        <f>'P_L Workings'!Y46</f>
        <v>1470851.7250000001</v>
      </c>
      <c r="Z8" s="13">
        <f>'P_L Workings'!Z46</f>
        <v>1596645.7</v>
      </c>
      <c r="AA8" s="13">
        <f>'P_L Workings'!AA46</f>
        <v>912942.45000000007</v>
      </c>
      <c r="AB8" s="13">
        <f>'P_L Workings'!AB46</f>
        <v>1420132.7</v>
      </c>
      <c r="AC8" s="13">
        <f>'P_L Workings'!AC46</f>
        <v>1572289.7750000001</v>
      </c>
      <c r="AD8" s="13">
        <f>'P_L Workings'!AD46</f>
        <v>1576904</v>
      </c>
      <c r="AE8" s="13">
        <f>'P_L Workings'!AE46</f>
        <v>1685656</v>
      </c>
      <c r="AF8" s="13">
        <f>'P_L Workings'!AF46</f>
        <v>1708419</v>
      </c>
      <c r="AG8" s="13">
        <f>'P_L Workings'!AG46</f>
        <v>1871646.7</v>
      </c>
      <c r="AH8" s="13">
        <f>'P_L Workings'!AH46</f>
        <v>1871646.7</v>
      </c>
      <c r="AI8" s="13">
        <f>'P_L Workings'!AI46</f>
        <v>1605567</v>
      </c>
      <c r="AJ8" s="13">
        <f>'P_L Workings'!AJ46</f>
        <v>1659085.9000000001</v>
      </c>
      <c r="AK8" s="13">
        <f>'P_L Workings'!AK46</f>
        <v>1552048.1</v>
      </c>
      <c r="AL8" s="13">
        <f>'P_L Workings'!AL46</f>
        <v>1685656</v>
      </c>
      <c r="AM8" s="13">
        <f>'P_L Workings'!AM46</f>
        <v>1016859.1</v>
      </c>
      <c r="AN8" s="13">
        <f>'P_L Workings'!AN46</f>
        <v>1445010.3</v>
      </c>
      <c r="AO8" s="13">
        <f>'P_L Workings'!AO46</f>
        <v>1659085.9000000001</v>
      </c>
      <c r="AP8" s="13">
        <f>'P_L Workings'!AP46</f>
        <v>1658309.9</v>
      </c>
      <c r="AQ8" s="13">
        <f>'P_L Workings'!AQ46</f>
        <v>1746106</v>
      </c>
      <c r="AR8" s="13">
        <f>'P_L Workings'!AR46</f>
        <v>1766919</v>
      </c>
      <c r="AS8" s="13">
        <f>'P_L Workings'!AS46</f>
        <v>1932096.7</v>
      </c>
      <c r="AT8" s="13">
        <f>'P_L Workings'!AT46</f>
        <v>1932096.7</v>
      </c>
      <c r="AU8" s="13">
        <f>'P_L Workings'!AU46</f>
        <v>1670495.25</v>
      </c>
      <c r="AV8" s="13">
        <f>'P_L Workings'!AV46</f>
        <v>1726178.425</v>
      </c>
      <c r="AW8" s="13">
        <f>'P_L Workings'!AW46</f>
        <v>1608598.1</v>
      </c>
      <c r="AX8" s="13">
        <f>'P_L Workings'!AX46</f>
        <v>1746106</v>
      </c>
      <c r="AY8" s="13">
        <f>'P_L Workings'!AY46</f>
        <v>1053909.1000000001</v>
      </c>
      <c r="AZ8" s="13">
        <f>'P_L Workings'!AZ46</f>
        <v>1497660.3</v>
      </c>
      <c r="BA8" s="13">
        <f>'P_L Workings'!BA46</f>
        <v>1719535.9000000001</v>
      </c>
    </row>
    <row r="9" spans="1:53" ht="12.5" x14ac:dyDescent="0.25">
      <c r="B9" t="s">
        <v>9</v>
      </c>
      <c r="C9" s="13">
        <f>'P_L Workings'!C69</f>
        <v>0</v>
      </c>
      <c r="D9" s="13">
        <f>'P_L Workings'!D69</f>
        <v>0</v>
      </c>
      <c r="E9" s="13">
        <f>'P_L Workings'!E69</f>
        <v>2310</v>
      </c>
      <c r="F9" s="13">
        <f>'P_L Workings'!F69</f>
        <v>9113.83</v>
      </c>
      <c r="G9" s="13">
        <f>'P_L Workings'!G69</f>
        <v>9742.369999999999</v>
      </c>
      <c r="H9" s="13">
        <f>'P_L Workings'!H69</f>
        <v>23570.250000000007</v>
      </c>
      <c r="I9" s="13">
        <f>'P_L Workings'!I69</f>
        <v>24355.925000000007</v>
      </c>
      <c r="J9" s="13">
        <f>'P_L Workings'!J69</f>
        <v>24355.925000000007</v>
      </c>
      <c r="K9" s="13">
        <f>'P_L Workings'!K69</f>
        <v>9428.0999999999985</v>
      </c>
      <c r="L9" s="13">
        <f>'P_L Workings'!L69</f>
        <v>9742.369999999999</v>
      </c>
      <c r="M9" s="13">
        <f>'P_L Workings'!M69</f>
        <v>9113.83</v>
      </c>
      <c r="N9" s="13">
        <f>'P_L Workings'!N69</f>
        <v>15587.791999999999</v>
      </c>
      <c r="O9" s="13">
        <f>'P_L Workings'!O69</f>
        <v>5971.1299999999992</v>
      </c>
      <c r="P9" s="13">
        <f>'P_L Workings'!P69</f>
        <v>8485.2899999999991</v>
      </c>
      <c r="Q9" s="13">
        <f>'P_L Workings'!Q69</f>
        <v>9742.369999999999</v>
      </c>
      <c r="R9" s="13">
        <f>'P_L Workings'!R69</f>
        <v>13670.744999999999</v>
      </c>
      <c r="S9" s="13">
        <f>'P_L Workings'!S69</f>
        <v>14613.554999999998</v>
      </c>
      <c r="T9" s="13">
        <f>'P_L Workings'!T69</f>
        <v>28284.3</v>
      </c>
      <c r="U9" s="13">
        <f>'P_L Workings'!U69</f>
        <v>29227.109999999997</v>
      </c>
      <c r="V9" s="13">
        <f>'P_L Workings'!V69</f>
        <v>29227.109999999997</v>
      </c>
      <c r="W9" s="13">
        <f>'P_L Workings'!W69</f>
        <v>14142.15</v>
      </c>
      <c r="X9" s="13">
        <f>'P_L Workings'!X69</f>
        <v>14613.554999999998</v>
      </c>
      <c r="Y9" s="13">
        <f>'P_L Workings'!Y69</f>
        <v>13670.744999999999</v>
      </c>
      <c r="Z9" s="13">
        <f>'P_L Workings'!Z69</f>
        <v>19484.739999999998</v>
      </c>
      <c r="AA9" s="13">
        <f>'P_L Workings'!AA69</f>
        <v>8485.2899999999991</v>
      </c>
      <c r="AB9" s="13">
        <f>'P_L Workings'!AB69</f>
        <v>13199.34</v>
      </c>
      <c r="AC9" s="13">
        <f>'P_L Workings'!AC69</f>
        <v>14613.554999999998</v>
      </c>
      <c r="AD9" s="13">
        <f>'P_L Workings'!AD69</f>
        <v>18227.66</v>
      </c>
      <c r="AE9" s="13">
        <f>'P_L Workings'!AE69</f>
        <v>19484.739999999998</v>
      </c>
      <c r="AF9" s="13">
        <f>'P_L Workings'!AF69</f>
        <v>28284.3</v>
      </c>
      <c r="AG9" s="13">
        <f>'P_L Workings'!AG69</f>
        <v>29227.109999999997</v>
      </c>
      <c r="AH9" s="13">
        <f>'P_L Workings'!AH69</f>
        <v>29227.109999999997</v>
      </c>
      <c r="AI9" s="13">
        <f>'P_L Workings'!AI69</f>
        <v>14142.15</v>
      </c>
      <c r="AJ9" s="13">
        <f>'P_L Workings'!AJ69</f>
        <v>14613.554999999998</v>
      </c>
      <c r="AK9" s="13">
        <f>'P_L Workings'!AK69</f>
        <v>13670.744999999999</v>
      </c>
      <c r="AL9" s="13">
        <f>'P_L Workings'!AL69</f>
        <v>19484.739999999998</v>
      </c>
      <c r="AM9" s="13">
        <f>'P_L Workings'!AM69</f>
        <v>8956.6949999999997</v>
      </c>
      <c r="AN9" s="13">
        <f>'P_L Workings'!AN69</f>
        <v>12727.934999999999</v>
      </c>
      <c r="AO9" s="13">
        <f>'P_L Workings'!AO69</f>
        <v>14613.554999999998</v>
      </c>
      <c r="AP9" s="13">
        <f>'P_L Workings'!AP69</f>
        <v>22784.575000000004</v>
      </c>
      <c r="AQ9" s="13">
        <f>'P_L Workings'!AQ69</f>
        <v>19484.739999999998</v>
      </c>
      <c r="AR9" s="13">
        <f>'P_L Workings'!AR69</f>
        <v>28284.3</v>
      </c>
      <c r="AS9" s="13">
        <f>'P_L Workings'!AS69</f>
        <v>29227.109999999997</v>
      </c>
      <c r="AT9" s="13">
        <f>'P_L Workings'!AT69</f>
        <v>29227.109999999997</v>
      </c>
      <c r="AU9" s="13">
        <f>'P_L Workings'!AU69</f>
        <v>14142.15</v>
      </c>
      <c r="AV9" s="13">
        <f>'P_L Workings'!AV69</f>
        <v>14613.554999999998</v>
      </c>
      <c r="AW9" s="13">
        <f>'P_L Workings'!AW69</f>
        <v>13670.744999999999</v>
      </c>
      <c r="AX9" s="13">
        <f>'P_L Workings'!AX69</f>
        <v>19484.739999999998</v>
      </c>
      <c r="AY9" s="13">
        <f>'P_L Workings'!AY69</f>
        <v>8956.6949999999997</v>
      </c>
      <c r="AZ9" s="13">
        <f>'P_L Workings'!AZ69</f>
        <v>12727.934999999999</v>
      </c>
      <c r="BA9" s="13">
        <f>'P_L Workings'!BA69</f>
        <v>14613.554999999998</v>
      </c>
    </row>
    <row r="10" spans="1:53" hidden="1" x14ac:dyDescent="0.3">
      <c r="B10" t="s">
        <v>10</v>
      </c>
      <c r="C10" s="13"/>
      <c r="D10" s="13"/>
      <c r="E10" s="16"/>
    </row>
    <row r="11" spans="1:53" hidden="1" x14ac:dyDescent="0.3">
      <c r="B11" t="s">
        <v>11</v>
      </c>
      <c r="C11" s="13"/>
      <c r="D11" s="13"/>
      <c r="E11" s="16"/>
    </row>
    <row r="12" spans="1:53" hidden="1" x14ac:dyDescent="0.3">
      <c r="B12" t="s">
        <v>12</v>
      </c>
      <c r="C12" s="13"/>
      <c r="D12" s="13"/>
      <c r="E12" s="16"/>
    </row>
    <row r="13" spans="1:53" hidden="1" x14ac:dyDescent="0.3">
      <c r="B13" t="s">
        <v>13</v>
      </c>
      <c r="C13" s="13"/>
      <c r="D13" s="13"/>
      <c r="E13" s="16"/>
    </row>
    <row r="14" spans="1:53" hidden="1" x14ac:dyDescent="0.3">
      <c r="B14" t="s">
        <v>14</v>
      </c>
      <c r="C14" s="13"/>
      <c r="D14" s="13"/>
      <c r="E14" s="16"/>
    </row>
    <row r="15" spans="1:53" hidden="1" x14ac:dyDescent="0.3">
      <c r="B15" t="s">
        <v>15</v>
      </c>
      <c r="C15" s="13"/>
      <c r="D15" s="13"/>
      <c r="E15" s="16"/>
    </row>
    <row r="16" spans="1:53" hidden="1" x14ac:dyDescent="0.3">
      <c r="B16" t="s">
        <v>16</v>
      </c>
      <c r="C16" s="13"/>
      <c r="D16" s="13"/>
      <c r="E16" s="16"/>
    </row>
    <row r="17" spans="1:53" ht="12.5" x14ac:dyDescent="0.25">
      <c r="B17" t="s">
        <v>17</v>
      </c>
      <c r="C17" s="13"/>
      <c r="D17" s="13"/>
      <c r="E17" s="23"/>
      <c r="F17" s="24">
        <f>'P_L Workings'!F74</f>
        <v>20300</v>
      </c>
      <c r="G17" s="24">
        <f>'P_L Workings'!G74</f>
        <v>21700</v>
      </c>
      <c r="H17" s="24">
        <f>'P_L Workings'!H74</f>
        <v>21000</v>
      </c>
      <c r="I17" s="24">
        <f>'P_L Workings'!I74</f>
        <v>21700</v>
      </c>
      <c r="J17" s="24">
        <f>'P_L Workings'!J74</f>
        <v>21700</v>
      </c>
      <c r="K17" s="24">
        <f>'P_L Workings'!K74</f>
        <v>21000</v>
      </c>
      <c r="L17" s="24">
        <f>'P_L Workings'!L74</f>
        <v>21700</v>
      </c>
      <c r="M17" s="24">
        <f>'P_L Workings'!M74</f>
        <v>20300</v>
      </c>
      <c r="N17" s="24">
        <f>'P_L Workings'!N74</f>
        <v>21700</v>
      </c>
      <c r="O17" s="24">
        <f>'P_L Workings'!O74</f>
        <v>13300</v>
      </c>
      <c r="P17" s="24">
        <f>'P_L Workings'!P74</f>
        <v>18900</v>
      </c>
      <c r="Q17" s="24">
        <f>'P_L Workings'!Q74</f>
        <v>21700</v>
      </c>
      <c r="R17" s="24">
        <f>'P_L Workings'!R74</f>
        <v>20300</v>
      </c>
      <c r="S17" s="24">
        <f>'P_L Workings'!S74</f>
        <v>21700</v>
      </c>
      <c r="T17" s="24">
        <f>'P_L Workings'!T74</f>
        <v>21000</v>
      </c>
      <c r="U17" s="24">
        <f>'P_L Workings'!U74</f>
        <v>21700</v>
      </c>
      <c r="V17" s="24">
        <f>'P_L Workings'!V74</f>
        <v>21700</v>
      </c>
      <c r="W17" s="24">
        <f>'P_L Workings'!W74</f>
        <v>21000</v>
      </c>
      <c r="X17" s="24">
        <f>'P_L Workings'!X74</f>
        <v>21700</v>
      </c>
      <c r="Y17" s="24">
        <f>'P_L Workings'!Y74</f>
        <v>20300</v>
      </c>
      <c r="Z17" s="24">
        <f>'P_L Workings'!Z74</f>
        <v>21700</v>
      </c>
      <c r="AA17" s="24">
        <f>'P_L Workings'!AA74</f>
        <v>12600</v>
      </c>
      <c r="AB17" s="24">
        <f>'P_L Workings'!AB74</f>
        <v>19600</v>
      </c>
      <c r="AC17" s="24">
        <f>'P_L Workings'!AC74</f>
        <v>21700</v>
      </c>
      <c r="AD17" s="24">
        <f>'P_L Workings'!AD74</f>
        <v>20300</v>
      </c>
      <c r="AE17" s="24">
        <f>'P_L Workings'!AE74</f>
        <v>21700</v>
      </c>
      <c r="AF17" s="24">
        <f>'P_L Workings'!AF74</f>
        <v>21000</v>
      </c>
      <c r="AG17" s="24">
        <f>'P_L Workings'!AG74</f>
        <v>21700</v>
      </c>
      <c r="AH17" s="24">
        <f>'P_L Workings'!AH74</f>
        <v>21700</v>
      </c>
      <c r="AI17" s="24">
        <f>'P_L Workings'!AI74</f>
        <v>21000</v>
      </c>
      <c r="AJ17" s="24">
        <f>'P_L Workings'!AJ74</f>
        <v>21700</v>
      </c>
      <c r="AK17" s="24">
        <f>'P_L Workings'!AK74</f>
        <v>20300</v>
      </c>
      <c r="AL17" s="24">
        <f>'P_L Workings'!AL74</f>
        <v>21700</v>
      </c>
      <c r="AM17" s="24">
        <f>'P_L Workings'!AM74</f>
        <v>13300</v>
      </c>
      <c r="AN17" s="24">
        <f>'P_L Workings'!AN74</f>
        <v>18900</v>
      </c>
      <c r="AO17" s="24">
        <f>'P_L Workings'!AO74</f>
        <v>21700</v>
      </c>
      <c r="AP17" s="24">
        <f>'P_L Workings'!AP74</f>
        <v>20300</v>
      </c>
      <c r="AQ17" s="24">
        <f>'P_L Workings'!AQ74</f>
        <v>21700</v>
      </c>
      <c r="AR17" s="24">
        <f>'P_L Workings'!AR74</f>
        <v>21000</v>
      </c>
      <c r="AS17" s="24">
        <f>'P_L Workings'!AS74</f>
        <v>21700</v>
      </c>
      <c r="AT17" s="24">
        <f>'P_L Workings'!AT74</f>
        <v>21700</v>
      </c>
      <c r="AU17" s="24">
        <f>'P_L Workings'!AU74</f>
        <v>21000</v>
      </c>
      <c r="AV17" s="24">
        <f>'P_L Workings'!AV74</f>
        <v>21700</v>
      </c>
      <c r="AW17" s="24">
        <f>'P_L Workings'!AW74</f>
        <v>20300</v>
      </c>
      <c r="AX17" s="24">
        <f>'P_L Workings'!AX74</f>
        <v>21700</v>
      </c>
      <c r="AY17" s="24">
        <f>'P_L Workings'!AY74</f>
        <v>13300</v>
      </c>
      <c r="AZ17" s="24">
        <f>'P_L Workings'!AZ74</f>
        <v>18900</v>
      </c>
      <c r="BA17" s="24">
        <f>'P_L Workings'!BA74</f>
        <v>21700</v>
      </c>
    </row>
    <row r="18" spans="1:53" ht="14" x14ac:dyDescent="0.3">
      <c r="A18" s="14" t="s">
        <v>18</v>
      </c>
      <c r="C18" s="15">
        <f t="shared" ref="C18:AH18" si="0">SUM(C8:C17)</f>
        <v>0</v>
      </c>
      <c r="D18" s="15">
        <f t="shared" si="0"/>
        <v>0</v>
      </c>
      <c r="E18" s="15">
        <f t="shared" si="0"/>
        <v>331310</v>
      </c>
      <c r="F18" s="15">
        <f t="shared" si="0"/>
        <v>1419688.33</v>
      </c>
      <c r="G18" s="15">
        <f t="shared" si="0"/>
        <v>1517597.87</v>
      </c>
      <c r="H18" s="15">
        <f t="shared" si="0"/>
        <v>1568495.25</v>
      </c>
      <c r="I18" s="15">
        <f t="shared" si="0"/>
        <v>1709345.425</v>
      </c>
      <c r="J18" s="15">
        <f t="shared" si="0"/>
        <v>1709345.425</v>
      </c>
      <c r="K18" s="15">
        <f t="shared" si="0"/>
        <v>1468643.1</v>
      </c>
      <c r="L18" s="15">
        <f t="shared" si="0"/>
        <v>1517597.87</v>
      </c>
      <c r="M18" s="15">
        <f t="shared" si="0"/>
        <v>1419688.33</v>
      </c>
      <c r="N18" s="15">
        <f t="shared" si="0"/>
        <v>1550013.3919999998</v>
      </c>
      <c r="O18" s="15">
        <f t="shared" si="0"/>
        <v>930140.63</v>
      </c>
      <c r="P18" s="15">
        <f t="shared" si="0"/>
        <v>1321778.79</v>
      </c>
      <c r="Q18" s="15">
        <f t="shared" si="0"/>
        <v>1517597.87</v>
      </c>
      <c r="R18" s="15">
        <f t="shared" si="0"/>
        <v>1504822.4700000002</v>
      </c>
      <c r="S18" s="15">
        <f t="shared" si="0"/>
        <v>1608603.33</v>
      </c>
      <c r="T18" s="15">
        <f t="shared" si="0"/>
        <v>1667278.8</v>
      </c>
      <c r="U18" s="15">
        <f t="shared" si="0"/>
        <v>1829135.1600000001</v>
      </c>
      <c r="V18" s="15">
        <f t="shared" si="0"/>
        <v>1829135.1600000001</v>
      </c>
      <c r="W18" s="15">
        <f t="shared" si="0"/>
        <v>1556712.9</v>
      </c>
      <c r="X18" s="15">
        <f t="shared" si="0"/>
        <v>1608603.33</v>
      </c>
      <c r="Y18" s="15">
        <f t="shared" si="0"/>
        <v>1504822.4700000002</v>
      </c>
      <c r="Z18" s="15">
        <f t="shared" si="0"/>
        <v>1637830.44</v>
      </c>
      <c r="AA18" s="15">
        <f t="shared" si="0"/>
        <v>934027.74000000011</v>
      </c>
      <c r="AB18" s="15">
        <f t="shared" si="0"/>
        <v>1452932.04</v>
      </c>
      <c r="AC18" s="15">
        <f t="shared" si="0"/>
        <v>1608603.33</v>
      </c>
      <c r="AD18" s="15">
        <f t="shared" si="0"/>
        <v>1615431.66</v>
      </c>
      <c r="AE18" s="15">
        <f t="shared" si="0"/>
        <v>1726840.74</v>
      </c>
      <c r="AF18" s="15">
        <f t="shared" si="0"/>
        <v>1757703.3</v>
      </c>
      <c r="AG18" s="15">
        <f t="shared" si="0"/>
        <v>1922573.81</v>
      </c>
      <c r="AH18" s="15">
        <f t="shared" si="0"/>
        <v>1922573.81</v>
      </c>
      <c r="AI18" s="15">
        <f t="shared" ref="AI18:BA18" si="1">SUM(AI8:AI17)</f>
        <v>1640709.15</v>
      </c>
      <c r="AJ18" s="15">
        <f t="shared" si="1"/>
        <v>1695399.4550000001</v>
      </c>
      <c r="AK18" s="15">
        <f t="shared" si="1"/>
        <v>1586018.8450000002</v>
      </c>
      <c r="AL18" s="15">
        <f t="shared" si="1"/>
        <v>1726840.74</v>
      </c>
      <c r="AM18" s="15">
        <f t="shared" si="1"/>
        <v>1039115.7949999999</v>
      </c>
      <c r="AN18" s="15">
        <f t="shared" si="1"/>
        <v>1476638.2350000001</v>
      </c>
      <c r="AO18" s="15">
        <f t="shared" si="1"/>
        <v>1695399.4550000001</v>
      </c>
      <c r="AP18" s="15">
        <f t="shared" si="1"/>
        <v>1701394.4749999999</v>
      </c>
      <c r="AQ18" s="15">
        <f t="shared" si="1"/>
        <v>1787290.74</v>
      </c>
      <c r="AR18" s="15">
        <f t="shared" si="1"/>
        <v>1816203.3</v>
      </c>
      <c r="AS18" s="15">
        <f t="shared" si="1"/>
        <v>1983023.81</v>
      </c>
      <c r="AT18" s="15">
        <f t="shared" si="1"/>
        <v>1983023.81</v>
      </c>
      <c r="AU18" s="15">
        <f t="shared" si="1"/>
        <v>1705637.4</v>
      </c>
      <c r="AV18" s="15">
        <f t="shared" si="1"/>
        <v>1762491.98</v>
      </c>
      <c r="AW18" s="15">
        <f t="shared" si="1"/>
        <v>1642568.8450000002</v>
      </c>
      <c r="AX18" s="15">
        <f t="shared" si="1"/>
        <v>1787290.74</v>
      </c>
      <c r="AY18" s="15">
        <f t="shared" si="1"/>
        <v>1076165.7950000002</v>
      </c>
      <c r="AZ18" s="15">
        <f t="shared" si="1"/>
        <v>1529288.2350000001</v>
      </c>
      <c r="BA18" s="15">
        <f t="shared" si="1"/>
        <v>1755849.4550000001</v>
      </c>
    </row>
    <row r="19" spans="1:53" x14ac:dyDescent="0.3">
      <c r="C19" s="13"/>
      <c r="D19" s="13"/>
      <c r="E19" s="16"/>
    </row>
    <row r="20" spans="1:53" ht="15.5" x14ac:dyDescent="0.35">
      <c r="A20" s="4" t="s">
        <v>19</v>
      </c>
      <c r="C20" s="13"/>
      <c r="D20" s="13"/>
      <c r="E20" s="16"/>
    </row>
    <row r="21" spans="1:53" ht="6" customHeight="1" x14ac:dyDescent="0.35">
      <c r="A21" s="4"/>
      <c r="C21" s="13"/>
      <c r="D21" s="13"/>
      <c r="E21" s="16"/>
    </row>
    <row r="22" spans="1:53" ht="15.5" x14ac:dyDescent="0.35">
      <c r="A22" s="17" t="s">
        <v>20</v>
      </c>
      <c r="C22" s="13"/>
      <c r="D22" s="13"/>
      <c r="E22" s="16"/>
    </row>
    <row r="23" spans="1:53" x14ac:dyDescent="0.3">
      <c r="B23" t="s">
        <v>21</v>
      </c>
      <c r="C23" s="18">
        <f>'P_L Workings'!C81</f>
        <v>0</v>
      </c>
      <c r="D23" s="18">
        <f>'P_L Workings'!D81</f>
        <v>0</v>
      </c>
      <c r="E23" s="18">
        <f>'P_L Workings'!E81</f>
        <v>0</v>
      </c>
      <c r="F23" s="18">
        <f>'P_L Workings'!F81</f>
        <v>0</v>
      </c>
      <c r="G23" s="18">
        <f>'P_L Workings'!G81</f>
        <v>0</v>
      </c>
      <c r="H23" s="18">
        <f>'P_L Workings'!H81</f>
        <v>0</v>
      </c>
      <c r="I23" s="18">
        <f>'P_L Workings'!I81</f>
        <v>0</v>
      </c>
      <c r="J23" s="18">
        <f>'P_L Workings'!J81</f>
        <v>0</v>
      </c>
      <c r="K23" s="18">
        <f>'P_L Workings'!K81</f>
        <v>0</v>
      </c>
      <c r="L23" s="18">
        <f>'P_L Workings'!L81</f>
        <v>0</v>
      </c>
      <c r="M23" s="18">
        <f>'P_L Workings'!M81</f>
        <v>0</v>
      </c>
      <c r="N23" s="18">
        <f>'P_L Workings'!N81</f>
        <v>0</v>
      </c>
      <c r="O23" s="18">
        <f>'P_L Workings'!O81</f>
        <v>0</v>
      </c>
      <c r="P23" s="18">
        <f>'P_L Workings'!P81</f>
        <v>0</v>
      </c>
      <c r="Q23" s="18">
        <f>'P_L Workings'!Q81</f>
        <v>0</v>
      </c>
      <c r="R23" s="18">
        <f>'P_L Workings'!R81</f>
        <v>0</v>
      </c>
      <c r="S23" s="18">
        <f>'P_L Workings'!S81</f>
        <v>0</v>
      </c>
      <c r="T23" s="18">
        <f>'P_L Workings'!T81</f>
        <v>0</v>
      </c>
      <c r="U23" s="18">
        <f>'P_L Workings'!U81</f>
        <v>0</v>
      </c>
      <c r="V23" s="18">
        <f>'P_L Workings'!V81</f>
        <v>0</v>
      </c>
      <c r="W23" s="18">
        <f>'P_L Workings'!W81</f>
        <v>0</v>
      </c>
      <c r="X23" s="18">
        <f>'P_L Workings'!X81</f>
        <v>0</v>
      </c>
      <c r="Y23" s="18">
        <f>'P_L Workings'!Y81</f>
        <v>0</v>
      </c>
      <c r="Z23" s="18">
        <f>'P_L Workings'!Z81</f>
        <v>0</v>
      </c>
      <c r="AA23" s="18">
        <f>'P_L Workings'!AA81</f>
        <v>0</v>
      </c>
      <c r="AB23" s="18">
        <f>'P_L Workings'!AB81</f>
        <v>0</v>
      </c>
      <c r="AC23" s="18">
        <f>'P_L Workings'!AC81</f>
        <v>0</v>
      </c>
      <c r="AD23" s="18">
        <f>'P_L Workings'!AD81</f>
        <v>0</v>
      </c>
      <c r="AE23" s="18">
        <f>'P_L Workings'!AE81</f>
        <v>0</v>
      </c>
      <c r="AF23" s="18">
        <f>'P_L Workings'!AF81</f>
        <v>0</v>
      </c>
      <c r="AG23" s="18">
        <f>'P_L Workings'!AG81</f>
        <v>0</v>
      </c>
      <c r="AH23" s="18">
        <f>'P_L Workings'!AH81</f>
        <v>0</v>
      </c>
      <c r="AI23" s="18">
        <f>'P_L Workings'!AI81</f>
        <v>0</v>
      </c>
      <c r="AJ23" s="18">
        <f>'P_L Workings'!AJ81</f>
        <v>0</v>
      </c>
      <c r="AK23" s="18">
        <f>'P_L Workings'!AK81</f>
        <v>0</v>
      </c>
      <c r="AL23" s="18">
        <f>'P_L Workings'!AL81</f>
        <v>0</v>
      </c>
      <c r="AM23" s="18">
        <f>'P_L Workings'!AM81</f>
        <v>0</v>
      </c>
      <c r="AN23" s="18">
        <f>'P_L Workings'!AN81</f>
        <v>0</v>
      </c>
      <c r="AO23" s="18">
        <f>'P_L Workings'!AO81</f>
        <v>0</v>
      </c>
      <c r="AP23" s="18">
        <f>'P_L Workings'!AP81</f>
        <v>0</v>
      </c>
      <c r="AQ23" s="18">
        <f>'P_L Workings'!AQ81</f>
        <v>0</v>
      </c>
      <c r="AR23" s="18">
        <f>'P_L Workings'!AR81</f>
        <v>0</v>
      </c>
      <c r="AS23" s="18">
        <f>'P_L Workings'!AS81</f>
        <v>0</v>
      </c>
      <c r="AT23" s="18">
        <f>'P_L Workings'!AT81</f>
        <v>0</v>
      </c>
      <c r="AU23" s="18">
        <f>'P_L Workings'!AU81</f>
        <v>0</v>
      </c>
      <c r="AV23" s="18">
        <f>'P_L Workings'!AV81</f>
        <v>0</v>
      </c>
      <c r="AW23" s="18">
        <f>'P_L Workings'!AW81</f>
        <v>0</v>
      </c>
      <c r="AX23" s="18">
        <f>'P_L Workings'!AX81</f>
        <v>0</v>
      </c>
      <c r="AY23" s="18">
        <f>'P_L Workings'!AY81</f>
        <v>0</v>
      </c>
      <c r="AZ23" s="18">
        <f>'P_L Workings'!AZ81</f>
        <v>0</v>
      </c>
      <c r="BA23" s="18">
        <f>'P_L Workings'!BA81</f>
        <v>0</v>
      </c>
    </row>
    <row r="24" spans="1:53" ht="12.5" hidden="1" x14ac:dyDescent="0.25">
      <c r="B24" t="s">
        <v>16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</row>
    <row r="25" spans="1:53" ht="12.5" hidden="1" x14ac:dyDescent="0.25">
      <c r="B25" t="s">
        <v>22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</row>
    <row r="26" spans="1:53" ht="14" hidden="1" x14ac:dyDescent="0.3">
      <c r="B26" s="19" t="s">
        <v>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</row>
    <row r="27" spans="1:53" ht="6" customHeight="1" x14ac:dyDescent="0.25"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</row>
    <row r="28" spans="1:53" ht="15.5" x14ac:dyDescent="0.35">
      <c r="A28" s="17" t="s">
        <v>23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</row>
    <row r="29" spans="1:53" x14ac:dyDescent="0.3">
      <c r="B29" t="s">
        <v>9</v>
      </c>
      <c r="C29" s="18">
        <f>'P_L Workings'!C90</f>
        <v>0</v>
      </c>
      <c r="D29" s="18">
        <f>'P_L Workings'!D90</f>
        <v>0</v>
      </c>
      <c r="E29" s="18">
        <f>'P_L Workings'!E90</f>
        <v>0</v>
      </c>
      <c r="F29" s="18">
        <f>'P_L Workings'!F90</f>
        <v>20714.285714285717</v>
      </c>
      <c r="G29" s="18">
        <f>'P_L Workings'!G90</f>
        <v>22142.857142857145</v>
      </c>
      <c r="H29" s="18">
        <f>'P_L Workings'!H90</f>
        <v>21428.571428571431</v>
      </c>
      <c r="I29" s="18">
        <f>'P_L Workings'!I90</f>
        <v>22142.857142857145</v>
      </c>
      <c r="J29" s="18">
        <f>'P_L Workings'!J90</f>
        <v>22142.857142857145</v>
      </c>
      <c r="K29" s="18">
        <f>'P_L Workings'!K90</f>
        <v>21428.571428571431</v>
      </c>
      <c r="L29" s="18">
        <f>'P_L Workings'!L90</f>
        <v>22142.857142857145</v>
      </c>
      <c r="M29" s="18">
        <f>'P_L Workings'!M90</f>
        <v>20714.285714285717</v>
      </c>
      <c r="N29" s="18">
        <f>'P_L Workings'!N90</f>
        <v>22142.857142857145</v>
      </c>
      <c r="O29" s="18">
        <f>'P_L Workings'!O90</f>
        <v>13571.428571428572</v>
      </c>
      <c r="P29" s="18">
        <f>'P_L Workings'!P90</f>
        <v>19285.714285714286</v>
      </c>
      <c r="Q29" s="18">
        <f>'P_L Workings'!Q90</f>
        <v>22142.857142857145</v>
      </c>
      <c r="R29" s="18">
        <f>'P_L Workings'!R90</f>
        <v>20714.285714285717</v>
      </c>
      <c r="S29" s="18">
        <f>'P_L Workings'!S90</f>
        <v>22142.857142857145</v>
      </c>
      <c r="T29" s="18">
        <f>'P_L Workings'!T90</f>
        <v>21428.571428571431</v>
      </c>
      <c r="U29" s="18">
        <f>'P_L Workings'!U90</f>
        <v>22142.857142857145</v>
      </c>
      <c r="V29" s="18">
        <f>'P_L Workings'!V90</f>
        <v>22142.857142857145</v>
      </c>
      <c r="W29" s="18">
        <f>'P_L Workings'!W90</f>
        <v>21428.571428571431</v>
      </c>
      <c r="X29" s="18">
        <f>'P_L Workings'!X90</f>
        <v>22142.857142857145</v>
      </c>
      <c r="Y29" s="18">
        <f>'P_L Workings'!Y90</f>
        <v>20714.285714285717</v>
      </c>
      <c r="Z29" s="18">
        <f>'P_L Workings'!Z90</f>
        <v>22142.857142857145</v>
      </c>
      <c r="AA29" s="18">
        <f>'P_L Workings'!AA90</f>
        <v>12857.142857142859</v>
      </c>
      <c r="AB29" s="18">
        <f>'P_L Workings'!AB90</f>
        <v>20000</v>
      </c>
      <c r="AC29" s="18">
        <f>'P_L Workings'!AC90</f>
        <v>22142.857142857145</v>
      </c>
      <c r="AD29" s="18">
        <f>'P_L Workings'!AD90</f>
        <v>20714.285714285717</v>
      </c>
      <c r="AE29" s="18">
        <f>'P_L Workings'!AE90</f>
        <v>22142.857142857145</v>
      </c>
      <c r="AF29" s="18">
        <f>'P_L Workings'!AF90</f>
        <v>21428.571428571431</v>
      </c>
      <c r="AG29" s="18">
        <f>'P_L Workings'!AG90</f>
        <v>22142.857142857145</v>
      </c>
      <c r="AH29" s="18">
        <f>'P_L Workings'!AH90</f>
        <v>22142.857142857145</v>
      </c>
      <c r="AI29" s="18">
        <f>'P_L Workings'!AI90</f>
        <v>21428.571428571431</v>
      </c>
      <c r="AJ29" s="18">
        <f>'P_L Workings'!AJ90</f>
        <v>22142.857142857145</v>
      </c>
      <c r="AK29" s="18">
        <f>'P_L Workings'!AK90</f>
        <v>20714.285714285717</v>
      </c>
      <c r="AL29" s="18">
        <f>'P_L Workings'!AL90</f>
        <v>22142.857142857145</v>
      </c>
      <c r="AM29" s="18">
        <f>'P_L Workings'!AM90</f>
        <v>13571.428571428572</v>
      </c>
      <c r="AN29" s="18">
        <f>'P_L Workings'!AN90</f>
        <v>19285.714285714286</v>
      </c>
      <c r="AO29" s="18">
        <f>'P_L Workings'!AO90</f>
        <v>22142.857142857145</v>
      </c>
      <c r="AP29" s="18">
        <f>'P_L Workings'!AP90</f>
        <v>20714.285714285717</v>
      </c>
      <c r="AQ29" s="18">
        <f>'P_L Workings'!AQ90</f>
        <v>22142.857142857145</v>
      </c>
      <c r="AR29" s="18">
        <f>'P_L Workings'!AR90</f>
        <v>21428.571428571431</v>
      </c>
      <c r="AS29" s="18">
        <f>'P_L Workings'!AS90</f>
        <v>22142.857142857145</v>
      </c>
      <c r="AT29" s="18">
        <f>'P_L Workings'!AT90</f>
        <v>22142.857142857145</v>
      </c>
      <c r="AU29" s="18">
        <f>'P_L Workings'!AU90</f>
        <v>21428.571428571431</v>
      </c>
      <c r="AV29" s="18">
        <f>'P_L Workings'!AV90</f>
        <v>22142.857142857145</v>
      </c>
      <c r="AW29" s="18">
        <f>'P_L Workings'!AW90</f>
        <v>20714.285714285717</v>
      </c>
      <c r="AX29" s="18">
        <f>'P_L Workings'!AX90</f>
        <v>22142.857142857145</v>
      </c>
      <c r="AY29" s="18">
        <f>'P_L Workings'!AY90</f>
        <v>13571.428571428572</v>
      </c>
      <c r="AZ29" s="18">
        <f>'P_L Workings'!AZ90</f>
        <v>19285.714285714286</v>
      </c>
      <c r="BA29" s="18">
        <f>'P_L Workings'!BA90</f>
        <v>22142.857142857145</v>
      </c>
    </row>
    <row r="30" spans="1:53" ht="14" hidden="1" x14ac:dyDescent="0.3">
      <c r="B30" s="19" t="s">
        <v>3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</row>
    <row r="31" spans="1:53" ht="6" customHeight="1" x14ac:dyDescent="0.25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</row>
    <row r="32" spans="1:53" ht="15.5" x14ac:dyDescent="0.35">
      <c r="A32" s="17" t="s">
        <v>24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</row>
    <row r="33" spans="1:53" ht="12.5" x14ac:dyDescent="0.25">
      <c r="B33" t="s">
        <v>25</v>
      </c>
      <c r="C33" s="13">
        <f>'P_L Workings'!C94</f>
        <v>0</v>
      </c>
      <c r="D33" s="13">
        <f>'P_L Workings'!D94</f>
        <v>0</v>
      </c>
      <c r="E33" s="13">
        <f>'P_L Workings'!E94</f>
        <v>110302.19230769231</v>
      </c>
      <c r="F33" s="13">
        <f>'P_L Workings'!F94</f>
        <v>477976.16666666669</v>
      </c>
      <c r="G33" s="13">
        <f>'P_L Workings'!G94</f>
        <v>477976.16666666669</v>
      </c>
      <c r="H33" s="13">
        <f>'P_L Workings'!H94</f>
        <v>477976.16666666669</v>
      </c>
      <c r="I33" s="13">
        <f>'P_L Workings'!I94</f>
        <v>477976.16666666669</v>
      </c>
      <c r="J33" s="13">
        <f>'P_L Workings'!J94</f>
        <v>477976.16666666669</v>
      </c>
      <c r="K33" s="13">
        <f>'P_L Workings'!K94</f>
        <v>477976.16666666669</v>
      </c>
      <c r="L33" s="13">
        <f>'P_L Workings'!L94</f>
        <v>477976.16666666669</v>
      </c>
      <c r="M33" s="13">
        <f>'P_L Workings'!M94</f>
        <v>477976.16666666669</v>
      </c>
      <c r="N33" s="13">
        <f>'P_L Workings'!N94</f>
        <v>477976.16666666669</v>
      </c>
      <c r="O33" s="13">
        <f>'P_L Workings'!O94</f>
        <v>477976.16666666669</v>
      </c>
      <c r="P33" s="13">
        <f>'P_L Workings'!P94</f>
        <v>477976.16666666669</v>
      </c>
      <c r="Q33" s="13">
        <f>'P_L Workings'!Q94</f>
        <v>477976.16666666669</v>
      </c>
      <c r="R33" s="13">
        <f>'P_L Workings'!R94</f>
        <v>477976.16666666669</v>
      </c>
      <c r="S33" s="13">
        <f>'P_L Workings'!S94</f>
        <v>477976.16666666669</v>
      </c>
      <c r="T33" s="13">
        <f>'P_L Workings'!T94</f>
        <v>477976.16666666669</v>
      </c>
      <c r="U33" s="13">
        <f>'P_L Workings'!U94</f>
        <v>477976.16666666669</v>
      </c>
      <c r="V33" s="13">
        <f>'P_L Workings'!V94</f>
        <v>477976.16666666669</v>
      </c>
      <c r="W33" s="13">
        <f>'P_L Workings'!W94</f>
        <v>477976.16666666669</v>
      </c>
      <c r="X33" s="13">
        <f>'P_L Workings'!X94</f>
        <v>477976.16666666669</v>
      </c>
      <c r="Y33" s="13">
        <f>'P_L Workings'!Y94</f>
        <v>477976.16666666669</v>
      </c>
      <c r="Z33" s="13">
        <f>'P_L Workings'!Z94</f>
        <v>477976.16666666669</v>
      </c>
      <c r="AA33" s="13">
        <f>'P_L Workings'!AA94</f>
        <v>477976.16666666669</v>
      </c>
      <c r="AB33" s="13">
        <f>'P_L Workings'!AB94</f>
        <v>477976.16666666669</v>
      </c>
      <c r="AC33" s="13">
        <f>'P_L Workings'!AC94</f>
        <v>477976.16666666669</v>
      </c>
      <c r="AD33" s="13">
        <f>'P_L Workings'!AD94</f>
        <v>477976.16666666669</v>
      </c>
      <c r="AE33" s="13">
        <f>'P_L Workings'!AE94</f>
        <v>477976.16666666669</v>
      </c>
      <c r="AF33" s="13">
        <f>'P_L Workings'!AF94</f>
        <v>477976.16666666669</v>
      </c>
      <c r="AG33" s="13">
        <f>'P_L Workings'!AG94</f>
        <v>477976.16666666669</v>
      </c>
      <c r="AH33" s="13">
        <f>'P_L Workings'!AH94</f>
        <v>477976.16666666669</v>
      </c>
      <c r="AI33" s="13">
        <f>'P_L Workings'!AI94</f>
        <v>477976.16666666669</v>
      </c>
      <c r="AJ33" s="13">
        <f>'P_L Workings'!AJ94</f>
        <v>477976.16666666669</v>
      </c>
      <c r="AK33" s="13">
        <f>'P_L Workings'!AK94</f>
        <v>477976.16666666669</v>
      </c>
      <c r="AL33" s="13">
        <f>'P_L Workings'!AL94</f>
        <v>477976.16666666669</v>
      </c>
      <c r="AM33" s="13">
        <f>'P_L Workings'!AM94</f>
        <v>477976.16666666669</v>
      </c>
      <c r="AN33" s="13">
        <f>'P_L Workings'!AN94</f>
        <v>477976.16666666669</v>
      </c>
      <c r="AO33" s="13">
        <f>'P_L Workings'!AO94</f>
        <v>477976.16666666669</v>
      </c>
      <c r="AP33" s="13">
        <f>'P_L Workings'!AP94</f>
        <v>477976.16666666669</v>
      </c>
      <c r="AQ33" s="13">
        <f>'P_L Workings'!AQ94</f>
        <v>477976.16666666669</v>
      </c>
      <c r="AR33" s="13">
        <f>'P_L Workings'!AR94</f>
        <v>477976.16666666669</v>
      </c>
      <c r="AS33" s="13">
        <f>'P_L Workings'!AS94</f>
        <v>477976.16666666669</v>
      </c>
      <c r="AT33" s="13">
        <f>'P_L Workings'!AT94</f>
        <v>477976.16666666669</v>
      </c>
      <c r="AU33" s="13">
        <f>'P_L Workings'!AU94</f>
        <v>477976.16666666669</v>
      </c>
      <c r="AV33" s="13">
        <f>'P_L Workings'!AV94</f>
        <v>477976.16666666669</v>
      </c>
      <c r="AW33" s="13">
        <f>'P_L Workings'!AW94</f>
        <v>477976.16666666669</v>
      </c>
      <c r="AX33" s="13">
        <f>'P_L Workings'!AX94</f>
        <v>477976.16666666669</v>
      </c>
      <c r="AY33" s="13">
        <f>'P_L Workings'!AY94</f>
        <v>477976.16666666669</v>
      </c>
      <c r="AZ33" s="13">
        <f>'P_L Workings'!AZ94</f>
        <v>477976.16666666669</v>
      </c>
      <c r="BA33" s="13">
        <f>'P_L Workings'!BA94</f>
        <v>477976.16666666669</v>
      </c>
    </row>
    <row r="34" spans="1:53" ht="12.5" x14ac:dyDescent="0.25">
      <c r="B34" t="s">
        <v>26</v>
      </c>
      <c r="C34" s="13">
        <f>'P_L Workings'!C95</f>
        <v>0</v>
      </c>
      <c r="D34" s="13">
        <f>'P_L Workings'!D95</f>
        <v>0</v>
      </c>
      <c r="E34" s="13">
        <f>'P_L Workings'!E95</f>
        <v>4807.6923076923076</v>
      </c>
      <c r="F34" s="13">
        <f>'P_L Workings'!F95</f>
        <v>20833.333333333332</v>
      </c>
      <c r="G34" s="13">
        <f>'P_L Workings'!G95</f>
        <v>20833.333333333332</v>
      </c>
      <c r="H34" s="13">
        <f>'P_L Workings'!H95</f>
        <v>20833.333333333332</v>
      </c>
      <c r="I34" s="13">
        <f>'P_L Workings'!I95</f>
        <v>20833.333333333332</v>
      </c>
      <c r="J34" s="13">
        <f>'P_L Workings'!J95</f>
        <v>20833.333333333332</v>
      </c>
      <c r="K34" s="13">
        <f>'P_L Workings'!K95</f>
        <v>20833.333333333332</v>
      </c>
      <c r="L34" s="13">
        <f>'P_L Workings'!L95</f>
        <v>20833.333333333332</v>
      </c>
      <c r="M34" s="13">
        <f>'P_L Workings'!M95</f>
        <v>20833.333333333332</v>
      </c>
      <c r="N34" s="13">
        <f>'P_L Workings'!N95</f>
        <v>20833.333333333332</v>
      </c>
      <c r="O34" s="13">
        <f>'P_L Workings'!O95</f>
        <v>20833.333333333332</v>
      </c>
      <c r="P34" s="13">
        <f>'P_L Workings'!P95</f>
        <v>20833.333333333332</v>
      </c>
      <c r="Q34" s="13">
        <f>'P_L Workings'!Q95</f>
        <v>20833.333333333332</v>
      </c>
      <c r="R34" s="13">
        <f>'P_L Workings'!R95</f>
        <v>20833.333333333332</v>
      </c>
      <c r="S34" s="13">
        <f>'P_L Workings'!S95</f>
        <v>20833.333333333332</v>
      </c>
      <c r="T34" s="13">
        <f>'P_L Workings'!T95</f>
        <v>20833.333333333332</v>
      </c>
      <c r="U34" s="13">
        <f>'P_L Workings'!U95</f>
        <v>20833.333333333332</v>
      </c>
      <c r="V34" s="13">
        <f>'P_L Workings'!V95</f>
        <v>20833.333333333332</v>
      </c>
      <c r="W34" s="13">
        <f>'P_L Workings'!W95</f>
        <v>20833.333333333332</v>
      </c>
      <c r="X34" s="13">
        <f>'P_L Workings'!X95</f>
        <v>20833.333333333332</v>
      </c>
      <c r="Y34" s="13">
        <f>'P_L Workings'!Y95</f>
        <v>20833.333333333332</v>
      </c>
      <c r="Z34" s="13">
        <f>'P_L Workings'!Z95</f>
        <v>20833.333333333332</v>
      </c>
      <c r="AA34" s="13">
        <f>'P_L Workings'!AA95</f>
        <v>20833.333333333332</v>
      </c>
      <c r="AB34" s="13">
        <f>'P_L Workings'!AB95</f>
        <v>20833.333333333332</v>
      </c>
      <c r="AC34" s="13">
        <f>'P_L Workings'!AC95</f>
        <v>20833.333333333332</v>
      </c>
      <c r="AD34" s="13">
        <f>'P_L Workings'!AD95</f>
        <v>20833.333333333332</v>
      </c>
      <c r="AE34" s="13">
        <f>'P_L Workings'!AE95</f>
        <v>20833.333333333332</v>
      </c>
      <c r="AF34" s="13">
        <f>'P_L Workings'!AF95</f>
        <v>20833.333333333332</v>
      </c>
      <c r="AG34" s="13">
        <f>'P_L Workings'!AG95</f>
        <v>20833.333333333332</v>
      </c>
      <c r="AH34" s="13">
        <f>'P_L Workings'!AH95</f>
        <v>20833.333333333332</v>
      </c>
      <c r="AI34" s="13">
        <f>'P_L Workings'!AI95</f>
        <v>20833.333333333332</v>
      </c>
      <c r="AJ34" s="13">
        <f>'P_L Workings'!AJ95</f>
        <v>20833.333333333332</v>
      </c>
      <c r="AK34" s="13">
        <f>'P_L Workings'!AK95</f>
        <v>20833.333333333332</v>
      </c>
      <c r="AL34" s="13">
        <f>'P_L Workings'!AL95</f>
        <v>20833.333333333332</v>
      </c>
      <c r="AM34" s="13">
        <f>'P_L Workings'!AM95</f>
        <v>20833.333333333332</v>
      </c>
      <c r="AN34" s="13">
        <f>'P_L Workings'!AN95</f>
        <v>20833.333333333332</v>
      </c>
      <c r="AO34" s="13">
        <f>'P_L Workings'!AO95</f>
        <v>20833.333333333332</v>
      </c>
      <c r="AP34" s="13">
        <f>'P_L Workings'!AP95</f>
        <v>20833.333333333332</v>
      </c>
      <c r="AQ34" s="13">
        <f>'P_L Workings'!AQ95</f>
        <v>20833.333333333332</v>
      </c>
      <c r="AR34" s="13">
        <f>'P_L Workings'!AR95</f>
        <v>20833.333333333332</v>
      </c>
      <c r="AS34" s="13">
        <f>'P_L Workings'!AS95</f>
        <v>20833.333333333332</v>
      </c>
      <c r="AT34" s="13">
        <f>'P_L Workings'!AT95</f>
        <v>20833.333333333332</v>
      </c>
      <c r="AU34" s="13">
        <f>'P_L Workings'!AU95</f>
        <v>20833.333333333332</v>
      </c>
      <c r="AV34" s="13">
        <f>'P_L Workings'!AV95</f>
        <v>20833.333333333332</v>
      </c>
      <c r="AW34" s="13">
        <f>'P_L Workings'!AW95</f>
        <v>20833.333333333332</v>
      </c>
      <c r="AX34" s="13">
        <f>'P_L Workings'!AX95</f>
        <v>20833.333333333332</v>
      </c>
      <c r="AY34" s="13">
        <f>'P_L Workings'!AY95</f>
        <v>20833.333333333332</v>
      </c>
      <c r="AZ34" s="13">
        <f>'P_L Workings'!AZ95</f>
        <v>20833.333333333332</v>
      </c>
      <c r="BA34" s="13">
        <f>'P_L Workings'!BA95</f>
        <v>20833.333333333332</v>
      </c>
    </row>
    <row r="35" spans="1:53" ht="12.5" x14ac:dyDescent="0.25">
      <c r="B35" t="s">
        <v>27</v>
      </c>
      <c r="C35" s="13">
        <f>'P_L Workings'!C102</f>
        <v>0</v>
      </c>
      <c r="D35" s="13">
        <f>'P_L Workings'!D102</f>
        <v>0</v>
      </c>
      <c r="E35" s="13">
        <f>'P_L Workings'!E102</f>
        <v>61623.380000000005</v>
      </c>
      <c r="F35" s="13">
        <f>'P_L Workings'!F102</f>
        <v>255296.86000000002</v>
      </c>
      <c r="G35" s="13">
        <f>'P_L Workings'!G102</f>
        <v>272903.53999999998</v>
      </c>
      <c r="H35" s="13">
        <f>'P_L Workings'!H102</f>
        <v>264100.2</v>
      </c>
      <c r="I35" s="13">
        <f>'P_L Workings'!I102</f>
        <v>272903.53999999998</v>
      </c>
      <c r="J35" s="13">
        <f>'P_L Workings'!J102</f>
        <v>272903.53999999998</v>
      </c>
      <c r="K35" s="13">
        <f>'P_L Workings'!K102</f>
        <v>264100.2</v>
      </c>
      <c r="L35" s="13">
        <f>'P_L Workings'!L102</f>
        <v>272903.53999999998</v>
      </c>
      <c r="M35" s="13">
        <f>'P_L Workings'!M102</f>
        <v>255296.86000000002</v>
      </c>
      <c r="N35" s="13">
        <f>'P_L Workings'!N102</f>
        <v>272903.53999999998</v>
      </c>
      <c r="O35" s="13">
        <f>'P_L Workings'!O102</f>
        <v>167263.46</v>
      </c>
      <c r="P35" s="13">
        <f>'P_L Workings'!P102</f>
        <v>237690.18</v>
      </c>
      <c r="Q35" s="13">
        <f>'P_L Workings'!Q102</f>
        <v>272903.53999999998</v>
      </c>
      <c r="R35" s="13">
        <f>'P_L Workings'!R102</f>
        <v>255296.86000000002</v>
      </c>
      <c r="S35" s="13">
        <f>'P_L Workings'!S102</f>
        <v>272903.53999999998</v>
      </c>
      <c r="T35" s="13">
        <f>'P_L Workings'!T102</f>
        <v>264100.2</v>
      </c>
      <c r="U35" s="13">
        <f>'P_L Workings'!U102</f>
        <v>272903.53999999998</v>
      </c>
      <c r="V35" s="13">
        <f>'P_L Workings'!V102</f>
        <v>272903.53999999998</v>
      </c>
      <c r="W35" s="13">
        <f>'P_L Workings'!W102</f>
        <v>264100.2</v>
      </c>
      <c r="X35" s="13">
        <f>'P_L Workings'!X102</f>
        <v>272903.53999999998</v>
      </c>
      <c r="Y35" s="13">
        <f>'P_L Workings'!Y102</f>
        <v>255296.86000000002</v>
      </c>
      <c r="Z35" s="13">
        <f>'P_L Workings'!Z102</f>
        <v>272903.53999999998</v>
      </c>
      <c r="AA35" s="13">
        <f>'P_L Workings'!AA102</f>
        <v>158460.12</v>
      </c>
      <c r="AB35" s="13">
        <f>'P_L Workings'!AB102</f>
        <v>246493.52000000002</v>
      </c>
      <c r="AC35" s="13">
        <f>'P_L Workings'!AC102</f>
        <v>272903.53999999998</v>
      </c>
      <c r="AD35" s="13">
        <f>'P_L Workings'!AD102</f>
        <v>255296.86000000002</v>
      </c>
      <c r="AE35" s="13">
        <f>'P_L Workings'!AE102</f>
        <v>272903.53999999998</v>
      </c>
      <c r="AF35" s="13">
        <f>'P_L Workings'!AF102</f>
        <v>264100.2</v>
      </c>
      <c r="AG35" s="13">
        <f>'P_L Workings'!AG102</f>
        <v>272903.53999999998</v>
      </c>
      <c r="AH35" s="13">
        <f>'P_L Workings'!AH102</f>
        <v>272903.53999999998</v>
      </c>
      <c r="AI35" s="13">
        <f>'P_L Workings'!AI102</f>
        <v>264100.2</v>
      </c>
      <c r="AJ35" s="13">
        <f>'P_L Workings'!AJ102</f>
        <v>272903.53999999998</v>
      </c>
      <c r="AK35" s="13">
        <f>'P_L Workings'!AK102</f>
        <v>255296.86000000002</v>
      </c>
      <c r="AL35" s="13">
        <f>'P_L Workings'!AL102</f>
        <v>272903.53999999998</v>
      </c>
      <c r="AM35" s="13">
        <f>'P_L Workings'!AM102</f>
        <v>167263.46</v>
      </c>
      <c r="AN35" s="13">
        <f>'P_L Workings'!AN102</f>
        <v>237690.18</v>
      </c>
      <c r="AO35" s="13">
        <f>'P_L Workings'!AO102</f>
        <v>272903.53999999998</v>
      </c>
      <c r="AP35" s="13">
        <f>'P_L Workings'!AP102</f>
        <v>255296.86000000002</v>
      </c>
      <c r="AQ35" s="13">
        <f>'P_L Workings'!AQ102</f>
        <v>272903.53999999998</v>
      </c>
      <c r="AR35" s="13">
        <f>'P_L Workings'!AR102</f>
        <v>264100.2</v>
      </c>
      <c r="AS35" s="13">
        <f>'P_L Workings'!AS102</f>
        <v>272903.53999999998</v>
      </c>
      <c r="AT35" s="13">
        <f>'P_L Workings'!AT102</f>
        <v>272903.53999999998</v>
      </c>
      <c r="AU35" s="13">
        <f>'P_L Workings'!AU102</f>
        <v>264100.2</v>
      </c>
      <c r="AV35" s="13">
        <f>'P_L Workings'!AV102</f>
        <v>272903.53999999998</v>
      </c>
      <c r="AW35" s="13">
        <f>'P_L Workings'!AW102</f>
        <v>255296.86000000002</v>
      </c>
      <c r="AX35" s="13">
        <f>'P_L Workings'!AX102</f>
        <v>272903.53999999998</v>
      </c>
      <c r="AY35" s="13">
        <f>'P_L Workings'!AY102</f>
        <v>167263.46</v>
      </c>
      <c r="AZ35" s="13">
        <f>'P_L Workings'!AZ102</f>
        <v>237690.18</v>
      </c>
      <c r="BA35" s="13">
        <f>'P_L Workings'!BA102</f>
        <v>272903.53999999998</v>
      </c>
    </row>
    <row r="36" spans="1:53" ht="12.5" x14ac:dyDescent="0.25">
      <c r="B36" t="s">
        <v>28</v>
      </c>
      <c r="C36" s="13">
        <f>'P_L Workings'!C104</f>
        <v>0</v>
      </c>
      <c r="D36" s="13">
        <f>'P_L Workings'!D104</f>
        <v>0</v>
      </c>
      <c r="E36" s="13">
        <f>'P_L Workings'!E104</f>
        <v>3645.8333333333335</v>
      </c>
      <c r="F36" s="13">
        <f>'P_L Workings'!F104</f>
        <v>14583.333333333334</v>
      </c>
      <c r="G36" s="13">
        <f>'P_L Workings'!G104</f>
        <v>14583.333333333334</v>
      </c>
      <c r="H36" s="13">
        <f>'P_L Workings'!H104</f>
        <v>14583.333333333334</v>
      </c>
      <c r="I36" s="13">
        <f>'P_L Workings'!I104</f>
        <v>14583.333333333334</v>
      </c>
      <c r="J36" s="13">
        <f>'P_L Workings'!J104</f>
        <v>14583.333333333334</v>
      </c>
      <c r="K36" s="13">
        <f>'P_L Workings'!K104</f>
        <v>14583.333333333334</v>
      </c>
      <c r="L36" s="13">
        <f>'P_L Workings'!L104</f>
        <v>14583.333333333334</v>
      </c>
      <c r="M36" s="13">
        <f>'P_L Workings'!M104</f>
        <v>14583.333333333334</v>
      </c>
      <c r="N36" s="13">
        <f>'P_L Workings'!N104</f>
        <v>14583.333333333334</v>
      </c>
      <c r="O36" s="13">
        <f>'P_L Workings'!O104</f>
        <v>14583.333333333334</v>
      </c>
      <c r="P36" s="13">
        <f>'P_L Workings'!P104</f>
        <v>14583.333333333334</v>
      </c>
      <c r="Q36" s="13">
        <f>'P_L Workings'!Q104</f>
        <v>14583.333333333334</v>
      </c>
      <c r="R36" s="13">
        <f>'P_L Workings'!R104</f>
        <v>14583.333333333334</v>
      </c>
      <c r="S36" s="13">
        <f>'P_L Workings'!S104</f>
        <v>14583.333333333334</v>
      </c>
      <c r="T36" s="13">
        <f>'P_L Workings'!T104</f>
        <v>14583.333333333334</v>
      </c>
      <c r="U36" s="13">
        <f>'P_L Workings'!U104</f>
        <v>14583.333333333334</v>
      </c>
      <c r="V36" s="13">
        <f>'P_L Workings'!V104</f>
        <v>14583.333333333334</v>
      </c>
      <c r="W36" s="13">
        <f>'P_L Workings'!W104</f>
        <v>14583.333333333334</v>
      </c>
      <c r="X36" s="13">
        <f>'P_L Workings'!X104</f>
        <v>14583.333333333334</v>
      </c>
      <c r="Y36" s="13">
        <f>'P_L Workings'!Y104</f>
        <v>14583.333333333334</v>
      </c>
      <c r="Z36" s="13">
        <f>'P_L Workings'!Z104</f>
        <v>14583.333333333334</v>
      </c>
      <c r="AA36" s="13">
        <f>'P_L Workings'!AA104</f>
        <v>14583.333333333334</v>
      </c>
      <c r="AB36" s="13">
        <f>'P_L Workings'!AB104</f>
        <v>14583.333333333334</v>
      </c>
      <c r="AC36" s="13">
        <f>'P_L Workings'!AC104</f>
        <v>14583.333333333334</v>
      </c>
      <c r="AD36" s="13">
        <f>'P_L Workings'!AD104</f>
        <v>14583.333333333334</v>
      </c>
      <c r="AE36" s="13">
        <f>'P_L Workings'!AE104</f>
        <v>14583.333333333334</v>
      </c>
      <c r="AF36" s="13">
        <f>'P_L Workings'!AF104</f>
        <v>14583.333333333334</v>
      </c>
      <c r="AG36" s="13">
        <f>'P_L Workings'!AG104</f>
        <v>14583.333333333334</v>
      </c>
      <c r="AH36" s="13">
        <f>'P_L Workings'!AH104</f>
        <v>14583.333333333334</v>
      </c>
      <c r="AI36" s="13">
        <f>'P_L Workings'!AI104</f>
        <v>14583.333333333334</v>
      </c>
      <c r="AJ36" s="13">
        <f>'P_L Workings'!AJ104</f>
        <v>14583.333333333334</v>
      </c>
      <c r="AK36" s="13">
        <f>'P_L Workings'!AK104</f>
        <v>14583.333333333334</v>
      </c>
      <c r="AL36" s="13">
        <f>'P_L Workings'!AL104</f>
        <v>14583.333333333334</v>
      </c>
      <c r="AM36" s="13">
        <f>'P_L Workings'!AM104</f>
        <v>14583.333333333334</v>
      </c>
      <c r="AN36" s="13">
        <f>'P_L Workings'!AN104</f>
        <v>14583.333333333334</v>
      </c>
      <c r="AO36" s="13">
        <f>'P_L Workings'!AO104</f>
        <v>14583.333333333334</v>
      </c>
      <c r="AP36" s="13">
        <f>'P_L Workings'!AP104</f>
        <v>14583.333333333334</v>
      </c>
      <c r="AQ36" s="13">
        <f>'P_L Workings'!AQ104</f>
        <v>14583.333333333334</v>
      </c>
      <c r="AR36" s="13">
        <f>'P_L Workings'!AR104</f>
        <v>14583.333333333334</v>
      </c>
      <c r="AS36" s="13">
        <f>'P_L Workings'!AS104</f>
        <v>14583.333333333334</v>
      </c>
      <c r="AT36" s="13">
        <f>'P_L Workings'!AT104</f>
        <v>14583.333333333334</v>
      </c>
      <c r="AU36" s="13">
        <f>'P_L Workings'!AU104</f>
        <v>14583.333333333334</v>
      </c>
      <c r="AV36" s="13">
        <f>'P_L Workings'!AV104</f>
        <v>14583.333333333334</v>
      </c>
      <c r="AW36" s="13">
        <f>'P_L Workings'!AW104</f>
        <v>14583.333333333334</v>
      </c>
      <c r="AX36" s="13">
        <f>'P_L Workings'!AX104</f>
        <v>14583.333333333334</v>
      </c>
      <c r="AY36" s="13">
        <f>'P_L Workings'!AY104</f>
        <v>14583.333333333334</v>
      </c>
      <c r="AZ36" s="13">
        <f>'P_L Workings'!AZ104</f>
        <v>14583.333333333334</v>
      </c>
      <c r="BA36" s="13">
        <f>'P_L Workings'!BA104</f>
        <v>14583.333333333334</v>
      </c>
    </row>
    <row r="37" spans="1:53" ht="12.5" x14ac:dyDescent="0.25">
      <c r="B37" t="s">
        <v>29</v>
      </c>
      <c r="C37" s="13">
        <f>'P_L Workings'!C108</f>
        <v>0</v>
      </c>
      <c r="D37" s="13">
        <f>'P_L Workings'!D108</f>
        <v>0</v>
      </c>
      <c r="E37" s="13">
        <f>'P_L Workings'!E108</f>
        <v>900.00000000000011</v>
      </c>
      <c r="F37" s="13">
        <f>'P_L Workings'!F108</f>
        <v>3728.5714285714289</v>
      </c>
      <c r="G37" s="13">
        <f>'P_L Workings'!G108</f>
        <v>3985.7142857142862</v>
      </c>
      <c r="H37" s="13">
        <f>'P_L Workings'!H108</f>
        <v>3857.1428571428573</v>
      </c>
      <c r="I37" s="13">
        <f>'P_L Workings'!I108</f>
        <v>3985.7142857142862</v>
      </c>
      <c r="J37" s="13">
        <f>'P_L Workings'!J108</f>
        <v>3985.7142857142862</v>
      </c>
      <c r="K37" s="13">
        <f>'P_L Workings'!K108</f>
        <v>3857.1428571428573</v>
      </c>
      <c r="L37" s="13">
        <f>'P_L Workings'!L108</f>
        <v>3985.7142857142862</v>
      </c>
      <c r="M37" s="13">
        <f>'P_L Workings'!M108</f>
        <v>3728.5714285714289</v>
      </c>
      <c r="N37" s="13">
        <f>'P_L Workings'!N108</f>
        <v>3985.7142857142862</v>
      </c>
      <c r="O37" s="13">
        <f>'P_L Workings'!O108</f>
        <v>2442.8571428571431</v>
      </c>
      <c r="P37" s="13">
        <f>'P_L Workings'!P108</f>
        <v>3471.4285714285716</v>
      </c>
      <c r="Q37" s="13">
        <f>'P_L Workings'!Q108</f>
        <v>3985.7142857142862</v>
      </c>
      <c r="R37" s="13">
        <f>'P_L Workings'!R108</f>
        <v>3728.5714285714289</v>
      </c>
      <c r="S37" s="13">
        <f>'P_L Workings'!S108</f>
        <v>3985.7142857142862</v>
      </c>
      <c r="T37" s="13">
        <f>'P_L Workings'!T108</f>
        <v>3857.1428571428573</v>
      </c>
      <c r="U37" s="13">
        <f>'P_L Workings'!U108</f>
        <v>3985.7142857142862</v>
      </c>
      <c r="V37" s="13">
        <f>'P_L Workings'!V108</f>
        <v>3985.7142857142862</v>
      </c>
      <c r="W37" s="13">
        <f>'P_L Workings'!W108</f>
        <v>3857.1428571428573</v>
      </c>
      <c r="X37" s="13">
        <f>'P_L Workings'!X108</f>
        <v>3985.7142857142862</v>
      </c>
      <c r="Y37" s="13">
        <f>'P_L Workings'!Y108</f>
        <v>3728.5714285714289</v>
      </c>
      <c r="Z37" s="13">
        <f>'P_L Workings'!Z108</f>
        <v>3985.7142857142862</v>
      </c>
      <c r="AA37" s="13">
        <f>'P_L Workings'!AA108</f>
        <v>2314.2857142857147</v>
      </c>
      <c r="AB37" s="13">
        <f>'P_L Workings'!AB108</f>
        <v>3600.0000000000005</v>
      </c>
      <c r="AC37" s="13">
        <f>'P_L Workings'!AC108</f>
        <v>3985.7142857142862</v>
      </c>
      <c r="AD37" s="13">
        <f>'P_L Workings'!AD108</f>
        <v>3728.5714285714289</v>
      </c>
      <c r="AE37" s="13">
        <f>'P_L Workings'!AE108</f>
        <v>3985.7142857142862</v>
      </c>
      <c r="AF37" s="13">
        <f>'P_L Workings'!AF108</f>
        <v>3857.1428571428573</v>
      </c>
      <c r="AG37" s="13">
        <f>'P_L Workings'!AG108</f>
        <v>3985.7142857142862</v>
      </c>
      <c r="AH37" s="13">
        <f>'P_L Workings'!AH108</f>
        <v>3985.7142857142862</v>
      </c>
      <c r="AI37" s="13">
        <f>'P_L Workings'!AI108</f>
        <v>3857.1428571428573</v>
      </c>
      <c r="AJ37" s="13">
        <f>'P_L Workings'!AJ108</f>
        <v>3985.7142857142862</v>
      </c>
      <c r="AK37" s="13">
        <f>'P_L Workings'!AK108</f>
        <v>3728.5714285714289</v>
      </c>
      <c r="AL37" s="13">
        <f>'P_L Workings'!AL108</f>
        <v>3985.7142857142862</v>
      </c>
      <c r="AM37" s="13">
        <f>'P_L Workings'!AM108</f>
        <v>2442.8571428571431</v>
      </c>
      <c r="AN37" s="13">
        <f>'P_L Workings'!AN108</f>
        <v>3471.4285714285716</v>
      </c>
      <c r="AO37" s="13">
        <f>'P_L Workings'!AO108</f>
        <v>3985.7142857142862</v>
      </c>
      <c r="AP37" s="13">
        <f>'P_L Workings'!AP108</f>
        <v>3728.5714285714289</v>
      </c>
      <c r="AQ37" s="13">
        <f>'P_L Workings'!AQ108</f>
        <v>3985.7142857142862</v>
      </c>
      <c r="AR37" s="13">
        <f>'P_L Workings'!AR108</f>
        <v>3857.1428571428573</v>
      </c>
      <c r="AS37" s="13">
        <f>'P_L Workings'!AS108</f>
        <v>3985.7142857142862</v>
      </c>
      <c r="AT37" s="13">
        <f>'P_L Workings'!AT108</f>
        <v>3985.7142857142862</v>
      </c>
      <c r="AU37" s="13">
        <f>'P_L Workings'!AU108</f>
        <v>3857.1428571428573</v>
      </c>
      <c r="AV37" s="13">
        <f>'P_L Workings'!AV108</f>
        <v>3985.7142857142862</v>
      </c>
      <c r="AW37" s="13">
        <f>'P_L Workings'!AW108</f>
        <v>3728.5714285714289</v>
      </c>
      <c r="AX37" s="13">
        <f>'P_L Workings'!AX108</f>
        <v>3985.7142857142862</v>
      </c>
      <c r="AY37" s="13">
        <f>'P_L Workings'!AY108</f>
        <v>2442.8571428571431</v>
      </c>
      <c r="AZ37" s="13">
        <f>'P_L Workings'!AZ108</f>
        <v>3471.4285714285716</v>
      </c>
      <c r="BA37" s="13">
        <f>'P_L Workings'!BA108</f>
        <v>3985.7142857142862</v>
      </c>
    </row>
    <row r="38" spans="1:53" ht="12.5" x14ac:dyDescent="0.25">
      <c r="B38" t="s">
        <v>30</v>
      </c>
      <c r="C38" s="13">
        <f>'P_L Workings'!C113</f>
        <v>0</v>
      </c>
      <c r="D38" s="13">
        <f>'P_L Workings'!D113</f>
        <v>0</v>
      </c>
      <c r="E38" s="13">
        <f>'P_L Workings'!E113</f>
        <v>7200.0000000000009</v>
      </c>
      <c r="F38" s="13">
        <f>'P_L Workings'!F113</f>
        <v>29828.571428571431</v>
      </c>
      <c r="G38" s="13">
        <f>'P_L Workings'!G113</f>
        <v>31885.71428571429</v>
      </c>
      <c r="H38" s="13">
        <f>'P_L Workings'!H113</f>
        <v>30857.142857142859</v>
      </c>
      <c r="I38" s="13">
        <f>'P_L Workings'!I113</f>
        <v>31885.71428571429</v>
      </c>
      <c r="J38" s="13">
        <f>'P_L Workings'!J113</f>
        <v>31885.71428571429</v>
      </c>
      <c r="K38" s="13">
        <f>'P_L Workings'!K113</f>
        <v>30857.142857142859</v>
      </c>
      <c r="L38" s="13">
        <f>'P_L Workings'!L113</f>
        <v>31885.71428571429</v>
      </c>
      <c r="M38" s="13">
        <f>'P_L Workings'!M113</f>
        <v>29828.571428571431</v>
      </c>
      <c r="N38" s="13">
        <f>'P_L Workings'!N113</f>
        <v>31885.71428571429</v>
      </c>
      <c r="O38" s="13">
        <f>'P_L Workings'!O113</f>
        <v>19542.857142857145</v>
      </c>
      <c r="P38" s="13">
        <f>'P_L Workings'!P113</f>
        <v>27771.428571428572</v>
      </c>
      <c r="Q38" s="13">
        <f>'P_L Workings'!Q113</f>
        <v>31885.71428571429</v>
      </c>
      <c r="R38" s="13">
        <f>'P_L Workings'!R113</f>
        <v>29828.571428571431</v>
      </c>
      <c r="S38" s="13">
        <f>'P_L Workings'!S113</f>
        <v>31885.71428571429</v>
      </c>
      <c r="T38" s="13">
        <f>'P_L Workings'!T113</f>
        <v>30857.142857142859</v>
      </c>
      <c r="U38" s="13">
        <f>'P_L Workings'!U113</f>
        <v>31885.71428571429</v>
      </c>
      <c r="V38" s="13">
        <f>'P_L Workings'!V113</f>
        <v>31885.71428571429</v>
      </c>
      <c r="W38" s="13">
        <f>'P_L Workings'!W113</f>
        <v>30857.142857142859</v>
      </c>
      <c r="X38" s="13">
        <f>'P_L Workings'!X113</f>
        <v>31885.71428571429</v>
      </c>
      <c r="Y38" s="13">
        <f>'P_L Workings'!Y113</f>
        <v>29828.571428571431</v>
      </c>
      <c r="Z38" s="13">
        <f>'P_L Workings'!Z113</f>
        <v>31885.71428571429</v>
      </c>
      <c r="AA38" s="13">
        <f>'P_L Workings'!AA113</f>
        <v>18514.285714285717</v>
      </c>
      <c r="AB38" s="13">
        <f>'P_L Workings'!AB113</f>
        <v>28800.000000000004</v>
      </c>
      <c r="AC38" s="13">
        <f>'P_L Workings'!AC113</f>
        <v>31885.71428571429</v>
      </c>
      <c r="AD38" s="13">
        <f>'P_L Workings'!AD113</f>
        <v>29828.571428571431</v>
      </c>
      <c r="AE38" s="13">
        <f>'P_L Workings'!AE113</f>
        <v>31885.71428571429</v>
      </c>
      <c r="AF38" s="13">
        <f>'P_L Workings'!AF113</f>
        <v>30857.142857142859</v>
      </c>
      <c r="AG38" s="13">
        <f>'P_L Workings'!AG113</f>
        <v>31885.71428571429</v>
      </c>
      <c r="AH38" s="13">
        <f>'P_L Workings'!AH113</f>
        <v>31885.71428571429</v>
      </c>
      <c r="AI38" s="13">
        <f>'P_L Workings'!AI113</f>
        <v>30857.142857142859</v>
      </c>
      <c r="AJ38" s="13">
        <f>'P_L Workings'!AJ113</f>
        <v>31885.71428571429</v>
      </c>
      <c r="AK38" s="13">
        <f>'P_L Workings'!AK113</f>
        <v>29828.571428571431</v>
      </c>
      <c r="AL38" s="13">
        <f>'P_L Workings'!AL113</f>
        <v>31885.71428571429</v>
      </c>
      <c r="AM38" s="13">
        <f>'P_L Workings'!AM113</f>
        <v>19542.857142857145</v>
      </c>
      <c r="AN38" s="13">
        <f>'P_L Workings'!AN113</f>
        <v>27771.428571428572</v>
      </c>
      <c r="AO38" s="13">
        <f>'P_L Workings'!AO113</f>
        <v>31885.71428571429</v>
      </c>
      <c r="AP38" s="13">
        <f>'P_L Workings'!AP113</f>
        <v>29828.571428571431</v>
      </c>
      <c r="AQ38" s="13">
        <f>'P_L Workings'!AQ113</f>
        <v>31885.71428571429</v>
      </c>
      <c r="AR38" s="13">
        <f>'P_L Workings'!AR113</f>
        <v>30857.142857142859</v>
      </c>
      <c r="AS38" s="13">
        <f>'P_L Workings'!AS113</f>
        <v>31885.71428571429</v>
      </c>
      <c r="AT38" s="13">
        <f>'P_L Workings'!AT113</f>
        <v>31885.71428571429</v>
      </c>
      <c r="AU38" s="13">
        <f>'P_L Workings'!AU113</f>
        <v>30857.142857142859</v>
      </c>
      <c r="AV38" s="13">
        <f>'P_L Workings'!AV113</f>
        <v>31885.71428571429</v>
      </c>
      <c r="AW38" s="13">
        <f>'P_L Workings'!AW113</f>
        <v>29828.571428571431</v>
      </c>
      <c r="AX38" s="13">
        <f>'P_L Workings'!AX113</f>
        <v>31885.71428571429</v>
      </c>
      <c r="AY38" s="13">
        <f>'P_L Workings'!AY113</f>
        <v>19542.857142857145</v>
      </c>
      <c r="AZ38" s="13">
        <f>'P_L Workings'!AZ113</f>
        <v>27771.428571428572</v>
      </c>
      <c r="BA38" s="13">
        <f>'P_L Workings'!BA113</f>
        <v>31885.71428571429</v>
      </c>
    </row>
    <row r="39" spans="1:53" ht="12.5" x14ac:dyDescent="0.25">
      <c r="B39" t="s">
        <v>31</v>
      </c>
      <c r="C39" s="13">
        <f>'P_L Workings'!C118</f>
        <v>0</v>
      </c>
      <c r="D39" s="13">
        <f>'P_L Workings'!D118</f>
        <v>0</v>
      </c>
      <c r="E39" s="13">
        <f>'P_L Workings'!E118</f>
        <v>27000</v>
      </c>
      <c r="F39" s="13">
        <f>'P_L Workings'!F118</f>
        <v>111857.14285714287</v>
      </c>
      <c r="G39" s="13">
        <f>'P_L Workings'!G118</f>
        <v>119571.42857142858</v>
      </c>
      <c r="H39" s="13">
        <f>'P_L Workings'!H118</f>
        <v>115714.28571428572</v>
      </c>
      <c r="I39" s="13">
        <f>'P_L Workings'!I118</f>
        <v>119571.42857142858</v>
      </c>
      <c r="J39" s="13">
        <f>'P_L Workings'!J118</f>
        <v>119571.42857142858</v>
      </c>
      <c r="K39" s="13">
        <f>'P_L Workings'!K118</f>
        <v>115714.28571428572</v>
      </c>
      <c r="L39" s="13">
        <f>'P_L Workings'!L118</f>
        <v>119571.42857142858</v>
      </c>
      <c r="M39" s="13">
        <f>'P_L Workings'!M118</f>
        <v>111857.14285714287</v>
      </c>
      <c r="N39" s="13">
        <f>'P_L Workings'!N118</f>
        <v>119571.42857142858</v>
      </c>
      <c r="O39" s="13">
        <f>'P_L Workings'!O118</f>
        <v>73285.71428571429</v>
      </c>
      <c r="P39" s="13">
        <f>'P_L Workings'!P118</f>
        <v>104142.85714285714</v>
      </c>
      <c r="Q39" s="13">
        <f>'P_L Workings'!Q118</f>
        <v>119571.42857142858</v>
      </c>
      <c r="R39" s="13">
        <f>'P_L Workings'!R118</f>
        <v>111857.14285714287</v>
      </c>
      <c r="S39" s="13">
        <f>'P_L Workings'!S118</f>
        <v>119571.42857142858</v>
      </c>
      <c r="T39" s="13">
        <f>'P_L Workings'!T118</f>
        <v>115714.28571428572</v>
      </c>
      <c r="U39" s="13">
        <f>'P_L Workings'!U118</f>
        <v>119571.42857142858</v>
      </c>
      <c r="V39" s="13">
        <f>'P_L Workings'!V118</f>
        <v>119571.42857142858</v>
      </c>
      <c r="W39" s="13">
        <f>'P_L Workings'!W118</f>
        <v>115714.28571428572</v>
      </c>
      <c r="X39" s="13">
        <f>'P_L Workings'!X118</f>
        <v>119571.42857142858</v>
      </c>
      <c r="Y39" s="13">
        <f>'P_L Workings'!Y118</f>
        <v>111857.14285714287</v>
      </c>
      <c r="Z39" s="13">
        <f>'P_L Workings'!Z118</f>
        <v>119571.42857142858</v>
      </c>
      <c r="AA39" s="13">
        <f>'P_L Workings'!AA118</f>
        <v>69428.571428571435</v>
      </c>
      <c r="AB39" s="13">
        <f>'P_L Workings'!AB118</f>
        <v>108000</v>
      </c>
      <c r="AC39" s="13">
        <f>'P_L Workings'!AC118</f>
        <v>119571.42857142858</v>
      </c>
      <c r="AD39" s="13">
        <f>'P_L Workings'!AD118</f>
        <v>111857.14285714287</v>
      </c>
      <c r="AE39" s="13">
        <f>'P_L Workings'!AE118</f>
        <v>119571.42857142858</v>
      </c>
      <c r="AF39" s="13">
        <f>'P_L Workings'!AF118</f>
        <v>115714.28571428572</v>
      </c>
      <c r="AG39" s="13">
        <f>'P_L Workings'!AG118</f>
        <v>119571.42857142858</v>
      </c>
      <c r="AH39" s="13">
        <f>'P_L Workings'!AH118</f>
        <v>119571.42857142858</v>
      </c>
      <c r="AI39" s="13">
        <f>'P_L Workings'!AI118</f>
        <v>115714.28571428572</v>
      </c>
      <c r="AJ39" s="13">
        <f>'P_L Workings'!AJ118</f>
        <v>119571.42857142858</v>
      </c>
      <c r="AK39" s="13">
        <f>'P_L Workings'!AK118</f>
        <v>111857.14285714287</v>
      </c>
      <c r="AL39" s="13">
        <f>'P_L Workings'!AL118</f>
        <v>119571.42857142858</v>
      </c>
      <c r="AM39" s="13">
        <f>'P_L Workings'!AM118</f>
        <v>73285.71428571429</v>
      </c>
      <c r="AN39" s="13">
        <f>'P_L Workings'!AN118</f>
        <v>104142.85714285714</v>
      </c>
      <c r="AO39" s="13">
        <f>'P_L Workings'!AO118</f>
        <v>119571.42857142858</v>
      </c>
      <c r="AP39" s="13">
        <f>'P_L Workings'!AP118</f>
        <v>111857.14285714287</v>
      </c>
      <c r="AQ39" s="13">
        <f>'P_L Workings'!AQ118</f>
        <v>119571.42857142858</v>
      </c>
      <c r="AR39" s="13">
        <f>'P_L Workings'!AR118</f>
        <v>115714.28571428572</v>
      </c>
      <c r="AS39" s="13">
        <f>'P_L Workings'!AS118</f>
        <v>119571.42857142858</v>
      </c>
      <c r="AT39" s="13">
        <f>'P_L Workings'!AT118</f>
        <v>119571.42857142858</v>
      </c>
      <c r="AU39" s="13">
        <f>'P_L Workings'!AU118</f>
        <v>115714.28571428572</v>
      </c>
      <c r="AV39" s="13">
        <f>'P_L Workings'!AV118</f>
        <v>119571.42857142858</v>
      </c>
      <c r="AW39" s="13">
        <f>'P_L Workings'!AW118</f>
        <v>111857.14285714287</v>
      </c>
      <c r="AX39" s="13">
        <f>'P_L Workings'!AX118</f>
        <v>119571.42857142858</v>
      </c>
      <c r="AY39" s="13">
        <f>'P_L Workings'!AY118</f>
        <v>73285.71428571429</v>
      </c>
      <c r="AZ39" s="13">
        <f>'P_L Workings'!AZ118</f>
        <v>104142.85714285714</v>
      </c>
      <c r="BA39" s="13">
        <f>'P_L Workings'!BA118</f>
        <v>119571.42857142858</v>
      </c>
    </row>
    <row r="40" spans="1:53" ht="12.5" x14ac:dyDescent="0.25">
      <c r="B40" t="s">
        <v>32</v>
      </c>
      <c r="C40" s="13">
        <f>'P_L Workings'!C120</f>
        <v>0</v>
      </c>
      <c r="D40" s="13">
        <f>'P_L Workings'!D120</f>
        <v>0</v>
      </c>
      <c r="E40" s="13">
        <f>'P_L Workings'!E120</f>
        <v>2500</v>
      </c>
      <c r="F40" s="13">
        <f>'P_L Workings'!F120</f>
        <v>5000</v>
      </c>
      <c r="G40" s="13">
        <f>'P_L Workings'!G120</f>
        <v>5000</v>
      </c>
      <c r="H40" s="13">
        <f>'P_L Workings'!H120</f>
        <v>5000</v>
      </c>
      <c r="I40" s="13">
        <f>'P_L Workings'!I120</f>
        <v>5000</v>
      </c>
      <c r="J40" s="13">
        <f>'P_L Workings'!J120</f>
        <v>5000</v>
      </c>
      <c r="K40" s="13">
        <f>'P_L Workings'!K120</f>
        <v>5000</v>
      </c>
      <c r="L40" s="13">
        <f>'P_L Workings'!L120</f>
        <v>5000</v>
      </c>
      <c r="M40" s="13">
        <f>'P_L Workings'!M120</f>
        <v>5000</v>
      </c>
      <c r="N40" s="13">
        <f>'P_L Workings'!N120</f>
        <v>5000</v>
      </c>
      <c r="O40" s="13">
        <f>'P_L Workings'!O120</f>
        <v>5000</v>
      </c>
      <c r="P40" s="13">
        <f>'P_L Workings'!P120</f>
        <v>5000</v>
      </c>
      <c r="Q40" s="13">
        <f>'P_L Workings'!Q120</f>
        <v>5000</v>
      </c>
      <c r="R40" s="13">
        <f>'P_L Workings'!R120</f>
        <v>5000</v>
      </c>
      <c r="S40" s="13">
        <f>'P_L Workings'!S120</f>
        <v>5000</v>
      </c>
      <c r="T40" s="13">
        <f>'P_L Workings'!T120</f>
        <v>5000</v>
      </c>
      <c r="U40" s="13">
        <f>'P_L Workings'!U120</f>
        <v>5000</v>
      </c>
      <c r="V40" s="13">
        <f>'P_L Workings'!V120</f>
        <v>5000</v>
      </c>
      <c r="W40" s="13">
        <f>'P_L Workings'!W120</f>
        <v>5000</v>
      </c>
      <c r="X40" s="13">
        <f>'P_L Workings'!X120</f>
        <v>5000</v>
      </c>
      <c r="Y40" s="13">
        <f>'P_L Workings'!Y120</f>
        <v>5000</v>
      </c>
      <c r="Z40" s="13">
        <f>'P_L Workings'!Z120</f>
        <v>5000</v>
      </c>
      <c r="AA40" s="13">
        <f>'P_L Workings'!AA120</f>
        <v>5000</v>
      </c>
      <c r="AB40" s="13">
        <f>'P_L Workings'!AB120</f>
        <v>5000</v>
      </c>
      <c r="AC40" s="13">
        <f>'P_L Workings'!AC120</f>
        <v>5000</v>
      </c>
      <c r="AD40" s="13">
        <f>'P_L Workings'!AD120</f>
        <v>5000</v>
      </c>
      <c r="AE40" s="13">
        <f>'P_L Workings'!AE120</f>
        <v>5000</v>
      </c>
      <c r="AF40" s="13">
        <f>'P_L Workings'!AF120</f>
        <v>5000</v>
      </c>
      <c r="AG40" s="13">
        <f>'P_L Workings'!AG120</f>
        <v>5000</v>
      </c>
      <c r="AH40" s="13">
        <f>'P_L Workings'!AH120</f>
        <v>5000</v>
      </c>
      <c r="AI40" s="13">
        <f>'P_L Workings'!AI120</f>
        <v>5000</v>
      </c>
      <c r="AJ40" s="13">
        <f>'P_L Workings'!AJ120</f>
        <v>5000</v>
      </c>
      <c r="AK40" s="13">
        <f>'P_L Workings'!AK120</f>
        <v>5000</v>
      </c>
      <c r="AL40" s="13">
        <f>'P_L Workings'!AL120</f>
        <v>5000</v>
      </c>
      <c r="AM40" s="13">
        <f>'P_L Workings'!AM120</f>
        <v>5000</v>
      </c>
      <c r="AN40" s="13">
        <f>'P_L Workings'!AN120</f>
        <v>5000</v>
      </c>
      <c r="AO40" s="13">
        <f>'P_L Workings'!AO120</f>
        <v>5000</v>
      </c>
      <c r="AP40" s="13">
        <f>'P_L Workings'!AP120</f>
        <v>5000</v>
      </c>
      <c r="AQ40" s="13">
        <f>'P_L Workings'!AQ120</f>
        <v>5000</v>
      </c>
      <c r="AR40" s="13">
        <f>'P_L Workings'!AR120</f>
        <v>5000</v>
      </c>
      <c r="AS40" s="13">
        <f>'P_L Workings'!AS120</f>
        <v>5000</v>
      </c>
      <c r="AT40" s="13">
        <f>'P_L Workings'!AT120</f>
        <v>5000</v>
      </c>
      <c r="AU40" s="13">
        <f>'P_L Workings'!AU120</f>
        <v>5000</v>
      </c>
      <c r="AV40" s="13">
        <f>'P_L Workings'!AV120</f>
        <v>5000</v>
      </c>
      <c r="AW40" s="13">
        <f>'P_L Workings'!AW120</f>
        <v>5000</v>
      </c>
      <c r="AX40" s="13">
        <f>'P_L Workings'!AX120</f>
        <v>5000</v>
      </c>
      <c r="AY40" s="13">
        <f>'P_L Workings'!AY120</f>
        <v>5000</v>
      </c>
      <c r="AZ40" s="13">
        <f>'P_L Workings'!AZ120</f>
        <v>5000</v>
      </c>
      <c r="BA40" s="13">
        <f>'P_L Workings'!BA120</f>
        <v>5000</v>
      </c>
    </row>
    <row r="41" spans="1:53" ht="12.5" x14ac:dyDescent="0.25">
      <c r="B41" t="s">
        <v>33</v>
      </c>
      <c r="C41" s="13">
        <f>'P_L Workings'!C121</f>
        <v>0</v>
      </c>
      <c r="D41" s="13">
        <f>'P_L Workings'!D121</f>
        <v>0</v>
      </c>
      <c r="E41" s="13">
        <f>'P_L Workings'!E121</f>
        <v>4000</v>
      </c>
      <c r="F41" s="13">
        <f>'P_L Workings'!F121</f>
        <v>8000</v>
      </c>
      <c r="G41" s="13">
        <f>'P_L Workings'!G121</f>
        <v>8000</v>
      </c>
      <c r="H41" s="13">
        <f>'P_L Workings'!H121</f>
        <v>8000</v>
      </c>
      <c r="I41" s="13">
        <f>'P_L Workings'!I121</f>
        <v>8000</v>
      </c>
      <c r="J41" s="13">
        <f>'P_L Workings'!J121</f>
        <v>8000</v>
      </c>
      <c r="K41" s="13">
        <f>'P_L Workings'!K121</f>
        <v>8000</v>
      </c>
      <c r="L41" s="13">
        <f>'P_L Workings'!L121</f>
        <v>8000</v>
      </c>
      <c r="M41" s="13">
        <f>'P_L Workings'!M121</f>
        <v>8000</v>
      </c>
      <c r="N41" s="13">
        <f>'P_L Workings'!N121</f>
        <v>8000</v>
      </c>
      <c r="O41" s="13">
        <f>'P_L Workings'!O121</f>
        <v>8000</v>
      </c>
      <c r="P41" s="13">
        <f>'P_L Workings'!P121</f>
        <v>8000</v>
      </c>
      <c r="Q41" s="13">
        <f>'P_L Workings'!Q121</f>
        <v>8000</v>
      </c>
      <c r="R41" s="13">
        <f>'P_L Workings'!R121</f>
        <v>8000</v>
      </c>
      <c r="S41" s="13">
        <f>'P_L Workings'!S121</f>
        <v>8000</v>
      </c>
      <c r="T41" s="13">
        <f>'P_L Workings'!T121</f>
        <v>8000</v>
      </c>
      <c r="U41" s="13">
        <f>'P_L Workings'!U121</f>
        <v>8000</v>
      </c>
      <c r="V41" s="13">
        <f>'P_L Workings'!V121</f>
        <v>8000</v>
      </c>
      <c r="W41" s="13">
        <f>'P_L Workings'!W121</f>
        <v>8000</v>
      </c>
      <c r="X41" s="13">
        <f>'P_L Workings'!X121</f>
        <v>8000</v>
      </c>
      <c r="Y41" s="13">
        <f>'P_L Workings'!Y121</f>
        <v>8000</v>
      </c>
      <c r="Z41" s="13">
        <f>'P_L Workings'!Z121</f>
        <v>8000</v>
      </c>
      <c r="AA41" s="13">
        <f>'P_L Workings'!AA121</f>
        <v>8000</v>
      </c>
      <c r="AB41" s="13">
        <f>'P_L Workings'!AB121</f>
        <v>8000</v>
      </c>
      <c r="AC41" s="13">
        <f>'P_L Workings'!AC121</f>
        <v>8000</v>
      </c>
      <c r="AD41" s="13">
        <f>'P_L Workings'!AD121</f>
        <v>8000</v>
      </c>
      <c r="AE41" s="13">
        <f>'P_L Workings'!AE121</f>
        <v>8000</v>
      </c>
      <c r="AF41" s="13">
        <f>'P_L Workings'!AF121</f>
        <v>8000</v>
      </c>
      <c r="AG41" s="13">
        <f>'P_L Workings'!AG121</f>
        <v>8000</v>
      </c>
      <c r="AH41" s="13">
        <f>'P_L Workings'!AH121</f>
        <v>8000</v>
      </c>
      <c r="AI41" s="13">
        <f>'P_L Workings'!AI121</f>
        <v>8000</v>
      </c>
      <c r="AJ41" s="13">
        <f>'P_L Workings'!AJ121</f>
        <v>8000</v>
      </c>
      <c r="AK41" s="13">
        <f>'P_L Workings'!AK121</f>
        <v>8000</v>
      </c>
      <c r="AL41" s="13">
        <f>'P_L Workings'!AL121</f>
        <v>8000</v>
      </c>
      <c r="AM41" s="13">
        <f>'P_L Workings'!AM121</f>
        <v>8000</v>
      </c>
      <c r="AN41" s="13">
        <f>'P_L Workings'!AN121</f>
        <v>8000</v>
      </c>
      <c r="AO41" s="13">
        <f>'P_L Workings'!AO121</f>
        <v>8000</v>
      </c>
      <c r="AP41" s="13">
        <f>'P_L Workings'!AP121</f>
        <v>8000</v>
      </c>
      <c r="AQ41" s="13">
        <f>'P_L Workings'!AQ121</f>
        <v>8000</v>
      </c>
      <c r="AR41" s="13">
        <f>'P_L Workings'!AR121</f>
        <v>8000</v>
      </c>
      <c r="AS41" s="13">
        <f>'P_L Workings'!AS121</f>
        <v>8000</v>
      </c>
      <c r="AT41" s="13">
        <f>'P_L Workings'!AT121</f>
        <v>8000</v>
      </c>
      <c r="AU41" s="13">
        <f>'P_L Workings'!AU121</f>
        <v>8000</v>
      </c>
      <c r="AV41" s="13">
        <f>'P_L Workings'!AV121</f>
        <v>8000</v>
      </c>
      <c r="AW41" s="13">
        <f>'P_L Workings'!AW121</f>
        <v>8000</v>
      </c>
      <c r="AX41" s="13">
        <f>'P_L Workings'!AX121</f>
        <v>8000</v>
      </c>
      <c r="AY41" s="13">
        <f>'P_L Workings'!AY121</f>
        <v>8000</v>
      </c>
      <c r="AZ41" s="13">
        <f>'P_L Workings'!AZ121</f>
        <v>8000</v>
      </c>
      <c r="BA41" s="13">
        <f>'P_L Workings'!BA121</f>
        <v>8000</v>
      </c>
    </row>
    <row r="42" spans="1:53" ht="12.5" x14ac:dyDescent="0.25">
      <c r="B42" t="s">
        <v>34</v>
      </c>
      <c r="C42" s="13">
        <f>'P_L Workings'!C125</f>
        <v>0</v>
      </c>
      <c r="D42" s="13">
        <f>'P_L Workings'!D125</f>
        <v>0</v>
      </c>
      <c r="E42" s="13">
        <f>'P_L Workings'!E125</f>
        <v>13000</v>
      </c>
      <c r="F42" s="13">
        <f>'P_L Workings'!F125</f>
        <v>53857.142857142855</v>
      </c>
      <c r="G42" s="13">
        <f>'P_L Workings'!G125</f>
        <v>57571.428571428572</v>
      </c>
      <c r="H42" s="13">
        <f>'P_L Workings'!H125</f>
        <v>55714.28571428571</v>
      </c>
      <c r="I42" s="13">
        <f>'P_L Workings'!I125</f>
        <v>57571.428571428572</v>
      </c>
      <c r="J42" s="13">
        <f>'P_L Workings'!J125</f>
        <v>57571.428571428572</v>
      </c>
      <c r="K42" s="13">
        <f>'P_L Workings'!K125</f>
        <v>55714.28571428571</v>
      </c>
      <c r="L42" s="13">
        <f>'P_L Workings'!L125</f>
        <v>57571.428571428572</v>
      </c>
      <c r="M42" s="13">
        <f>'P_L Workings'!M125</f>
        <v>53857.142857142855</v>
      </c>
      <c r="N42" s="13">
        <f>'P_L Workings'!N125</f>
        <v>57571.428571428572</v>
      </c>
      <c r="O42" s="13">
        <f>'P_L Workings'!O125</f>
        <v>35285.714285714283</v>
      </c>
      <c r="P42" s="13">
        <f>'P_L Workings'!P125</f>
        <v>50142.857142857145</v>
      </c>
      <c r="Q42" s="13">
        <f>'P_L Workings'!Q125</f>
        <v>57571.428571428572</v>
      </c>
      <c r="R42" s="13">
        <f>'P_L Workings'!R125</f>
        <v>53857.142857142855</v>
      </c>
      <c r="S42" s="13">
        <f>'P_L Workings'!S125</f>
        <v>57571.428571428572</v>
      </c>
      <c r="T42" s="13">
        <f>'P_L Workings'!T125</f>
        <v>55714.28571428571</v>
      </c>
      <c r="U42" s="13">
        <f>'P_L Workings'!U125</f>
        <v>57571.428571428572</v>
      </c>
      <c r="V42" s="13">
        <f>'P_L Workings'!V125</f>
        <v>57571.428571428572</v>
      </c>
      <c r="W42" s="13">
        <f>'P_L Workings'!W125</f>
        <v>55714.28571428571</v>
      </c>
      <c r="X42" s="13">
        <f>'P_L Workings'!X125</f>
        <v>57571.428571428572</v>
      </c>
      <c r="Y42" s="13">
        <f>'P_L Workings'!Y125</f>
        <v>53857.142857142855</v>
      </c>
      <c r="Z42" s="13">
        <f>'P_L Workings'!Z125</f>
        <v>57571.428571428572</v>
      </c>
      <c r="AA42" s="13">
        <f>'P_L Workings'!AA125</f>
        <v>33428.571428571428</v>
      </c>
      <c r="AB42" s="13">
        <f>'P_L Workings'!AB125</f>
        <v>52000</v>
      </c>
      <c r="AC42" s="13">
        <f>'P_L Workings'!AC125</f>
        <v>57571.428571428572</v>
      </c>
      <c r="AD42" s="13">
        <f>'P_L Workings'!AD125</f>
        <v>53857.142857142855</v>
      </c>
      <c r="AE42" s="13">
        <f>'P_L Workings'!AE125</f>
        <v>57571.428571428572</v>
      </c>
      <c r="AF42" s="13">
        <f>'P_L Workings'!AF125</f>
        <v>55714.28571428571</v>
      </c>
      <c r="AG42" s="13">
        <f>'P_L Workings'!AG125</f>
        <v>57571.428571428572</v>
      </c>
      <c r="AH42" s="13">
        <f>'P_L Workings'!AH125</f>
        <v>57571.428571428572</v>
      </c>
      <c r="AI42" s="13">
        <f>'P_L Workings'!AI125</f>
        <v>55714.28571428571</v>
      </c>
      <c r="AJ42" s="13">
        <f>'P_L Workings'!AJ125</f>
        <v>57571.428571428572</v>
      </c>
      <c r="AK42" s="13">
        <f>'P_L Workings'!AK125</f>
        <v>53857.142857142855</v>
      </c>
      <c r="AL42" s="13">
        <f>'P_L Workings'!AL125</f>
        <v>57571.428571428572</v>
      </c>
      <c r="AM42" s="13">
        <f>'P_L Workings'!AM125</f>
        <v>35285.714285714283</v>
      </c>
      <c r="AN42" s="13">
        <f>'P_L Workings'!AN125</f>
        <v>50142.857142857145</v>
      </c>
      <c r="AO42" s="13">
        <f>'P_L Workings'!AO125</f>
        <v>57571.428571428572</v>
      </c>
      <c r="AP42" s="13">
        <f>'P_L Workings'!AP125</f>
        <v>53857.142857142855</v>
      </c>
      <c r="AQ42" s="13">
        <f>'P_L Workings'!AQ125</f>
        <v>57571.428571428572</v>
      </c>
      <c r="AR42" s="13">
        <f>'P_L Workings'!AR125</f>
        <v>55714.28571428571</v>
      </c>
      <c r="AS42" s="13">
        <f>'P_L Workings'!AS125</f>
        <v>57571.428571428572</v>
      </c>
      <c r="AT42" s="13">
        <f>'P_L Workings'!AT125</f>
        <v>57571.428571428572</v>
      </c>
      <c r="AU42" s="13">
        <f>'P_L Workings'!AU125</f>
        <v>55714.28571428571</v>
      </c>
      <c r="AV42" s="13">
        <f>'P_L Workings'!AV125</f>
        <v>57571.428571428572</v>
      </c>
      <c r="AW42" s="13">
        <f>'P_L Workings'!AW125</f>
        <v>53857.142857142855</v>
      </c>
      <c r="AX42" s="13">
        <f>'P_L Workings'!AX125</f>
        <v>57571.428571428572</v>
      </c>
      <c r="AY42" s="13">
        <f>'P_L Workings'!AY125</f>
        <v>35285.714285714283</v>
      </c>
      <c r="AZ42" s="13">
        <f>'P_L Workings'!AZ125</f>
        <v>50142.857142857145</v>
      </c>
      <c r="BA42" s="13">
        <f>'P_L Workings'!BA125</f>
        <v>57571.428571428572</v>
      </c>
    </row>
    <row r="43" spans="1:53" ht="12.5" x14ac:dyDescent="0.25">
      <c r="B43" t="s">
        <v>35</v>
      </c>
      <c r="C43" s="13">
        <f>'P_L Workings'!C130</f>
        <v>0</v>
      </c>
      <c r="D43" s="13">
        <f>'P_L Workings'!D130</f>
        <v>0</v>
      </c>
      <c r="E43" s="13">
        <f>'P_L Workings'!E130</f>
        <v>48000</v>
      </c>
      <c r="F43" s="13">
        <f>'P_L Workings'!F130</f>
        <v>198857.14285714284</v>
      </c>
      <c r="G43" s="13">
        <f>'P_L Workings'!G130</f>
        <v>212571.42857142855</v>
      </c>
      <c r="H43" s="13">
        <f>'P_L Workings'!H130</f>
        <v>205714.28571428571</v>
      </c>
      <c r="I43" s="13">
        <f>'P_L Workings'!I130</f>
        <v>212571.42857142855</v>
      </c>
      <c r="J43" s="13">
        <f>'P_L Workings'!J130</f>
        <v>212571.42857142855</v>
      </c>
      <c r="K43" s="13">
        <f>'P_L Workings'!K130</f>
        <v>205714.28571428571</v>
      </c>
      <c r="L43" s="13">
        <f>'P_L Workings'!L130</f>
        <v>212571.42857142855</v>
      </c>
      <c r="M43" s="13">
        <f>'P_L Workings'!M130</f>
        <v>198857.14285714284</v>
      </c>
      <c r="N43" s="13">
        <f>'P_L Workings'!N130</f>
        <v>212571.42857142855</v>
      </c>
      <c r="O43" s="13">
        <f>'P_L Workings'!O130</f>
        <v>130285.71428571428</v>
      </c>
      <c r="P43" s="13">
        <f>'P_L Workings'!P130</f>
        <v>185142.85714285713</v>
      </c>
      <c r="Q43" s="13">
        <f>'P_L Workings'!Q130</f>
        <v>212571.42857142855</v>
      </c>
      <c r="R43" s="13">
        <f>'P_L Workings'!R130</f>
        <v>198857.14285714284</v>
      </c>
      <c r="S43" s="13">
        <f>'P_L Workings'!S130</f>
        <v>212571.42857142855</v>
      </c>
      <c r="T43" s="13">
        <f>'P_L Workings'!T130</f>
        <v>205714.28571428571</v>
      </c>
      <c r="U43" s="13">
        <f>'P_L Workings'!U130</f>
        <v>212571.42857142855</v>
      </c>
      <c r="V43" s="13">
        <f>'P_L Workings'!V130</f>
        <v>212571.42857142855</v>
      </c>
      <c r="W43" s="13">
        <f>'P_L Workings'!W130</f>
        <v>205714.28571428571</v>
      </c>
      <c r="X43" s="13">
        <f>'P_L Workings'!X130</f>
        <v>212571.42857142855</v>
      </c>
      <c r="Y43" s="13">
        <f>'P_L Workings'!Y130</f>
        <v>198857.14285714284</v>
      </c>
      <c r="Z43" s="13">
        <f>'P_L Workings'!Z130</f>
        <v>212571.42857142855</v>
      </c>
      <c r="AA43" s="13">
        <f>'P_L Workings'!AA130</f>
        <v>123428.57142857142</v>
      </c>
      <c r="AB43" s="13">
        <f>'P_L Workings'!AB130</f>
        <v>192000</v>
      </c>
      <c r="AC43" s="13">
        <f>'P_L Workings'!AC130</f>
        <v>212571.42857142855</v>
      </c>
      <c r="AD43" s="13">
        <f>'P_L Workings'!AD130</f>
        <v>198857.14285714284</v>
      </c>
      <c r="AE43" s="13">
        <f>'P_L Workings'!AE130</f>
        <v>212571.42857142855</v>
      </c>
      <c r="AF43" s="13">
        <f>'P_L Workings'!AF130</f>
        <v>205714.28571428571</v>
      </c>
      <c r="AG43" s="13">
        <f>'P_L Workings'!AG130</f>
        <v>212571.42857142855</v>
      </c>
      <c r="AH43" s="13">
        <f>'P_L Workings'!AH130</f>
        <v>212571.42857142855</v>
      </c>
      <c r="AI43" s="13">
        <f>'P_L Workings'!AI130</f>
        <v>205714.28571428571</v>
      </c>
      <c r="AJ43" s="13">
        <f>'P_L Workings'!AJ130</f>
        <v>212571.42857142855</v>
      </c>
      <c r="AK43" s="13">
        <f>'P_L Workings'!AK130</f>
        <v>198857.14285714284</v>
      </c>
      <c r="AL43" s="13">
        <f>'P_L Workings'!AL130</f>
        <v>212571.42857142855</v>
      </c>
      <c r="AM43" s="13">
        <f>'P_L Workings'!AM130</f>
        <v>130285.71428571428</v>
      </c>
      <c r="AN43" s="13">
        <f>'P_L Workings'!AN130</f>
        <v>185142.85714285713</v>
      </c>
      <c r="AO43" s="13">
        <f>'P_L Workings'!AO130</f>
        <v>212571.42857142855</v>
      </c>
      <c r="AP43" s="13">
        <f>'P_L Workings'!AP130</f>
        <v>198857.14285714284</v>
      </c>
      <c r="AQ43" s="13">
        <f>'P_L Workings'!AQ130</f>
        <v>212571.42857142855</v>
      </c>
      <c r="AR43" s="13">
        <f>'P_L Workings'!AR130</f>
        <v>205714.28571428571</v>
      </c>
      <c r="AS43" s="13">
        <f>'P_L Workings'!AS130</f>
        <v>212571.42857142855</v>
      </c>
      <c r="AT43" s="13">
        <f>'P_L Workings'!AT130</f>
        <v>212571.42857142855</v>
      </c>
      <c r="AU43" s="13">
        <f>'P_L Workings'!AU130</f>
        <v>205714.28571428571</v>
      </c>
      <c r="AV43" s="13">
        <f>'P_L Workings'!AV130</f>
        <v>212571.42857142855</v>
      </c>
      <c r="AW43" s="13">
        <f>'P_L Workings'!AW130</f>
        <v>198857.14285714284</v>
      </c>
      <c r="AX43" s="13">
        <f>'P_L Workings'!AX130</f>
        <v>212571.42857142855</v>
      </c>
      <c r="AY43" s="13">
        <f>'P_L Workings'!AY130</f>
        <v>130285.71428571428</v>
      </c>
      <c r="AZ43" s="13">
        <f>'P_L Workings'!AZ130</f>
        <v>185142.85714285713</v>
      </c>
      <c r="BA43" s="13">
        <f>'P_L Workings'!BA130</f>
        <v>212571.42857142855</v>
      </c>
    </row>
    <row r="44" spans="1:53" ht="12.5" x14ac:dyDescent="0.25">
      <c r="B44" t="s">
        <v>36</v>
      </c>
      <c r="C44" s="13">
        <f>'P_L Workings'!C135</f>
        <v>0</v>
      </c>
      <c r="D44" s="13">
        <f>'P_L Workings'!D135</f>
        <v>0</v>
      </c>
      <c r="E44" s="13">
        <f>'P_L Workings'!E135</f>
        <v>7800</v>
      </c>
      <c r="F44" s="13">
        <f>'P_L Workings'!F135</f>
        <v>32314.285714285714</v>
      </c>
      <c r="G44" s="13">
        <f>'P_L Workings'!G135</f>
        <v>34542.857142857138</v>
      </c>
      <c r="H44" s="13">
        <f>'P_L Workings'!H135</f>
        <v>33428.571428571428</v>
      </c>
      <c r="I44" s="13">
        <f>'P_L Workings'!I135</f>
        <v>34542.857142857138</v>
      </c>
      <c r="J44" s="13">
        <f>'P_L Workings'!J135</f>
        <v>34542.857142857138</v>
      </c>
      <c r="K44" s="13">
        <f>'P_L Workings'!K135</f>
        <v>33428.571428571428</v>
      </c>
      <c r="L44" s="13">
        <f>'P_L Workings'!L135</f>
        <v>34542.857142857138</v>
      </c>
      <c r="M44" s="13">
        <f>'P_L Workings'!M135</f>
        <v>32314.285714285714</v>
      </c>
      <c r="N44" s="13">
        <f>'P_L Workings'!N135</f>
        <v>34542.857142857138</v>
      </c>
      <c r="O44" s="13">
        <f>'P_L Workings'!O135</f>
        <v>21171.428571428569</v>
      </c>
      <c r="P44" s="13">
        <f>'P_L Workings'!P135</f>
        <v>30085.714285714283</v>
      </c>
      <c r="Q44" s="13">
        <f>'P_L Workings'!Q135</f>
        <v>34542.857142857138</v>
      </c>
      <c r="R44" s="13">
        <f>'P_L Workings'!R135</f>
        <v>32314.285714285714</v>
      </c>
      <c r="S44" s="13">
        <f>'P_L Workings'!S135</f>
        <v>34542.857142857138</v>
      </c>
      <c r="T44" s="13">
        <f>'P_L Workings'!T135</f>
        <v>33428.571428571428</v>
      </c>
      <c r="U44" s="13">
        <f>'P_L Workings'!U135</f>
        <v>34542.857142857138</v>
      </c>
      <c r="V44" s="13">
        <f>'P_L Workings'!V135</f>
        <v>34542.857142857138</v>
      </c>
      <c r="W44" s="13">
        <f>'P_L Workings'!W135</f>
        <v>33428.571428571428</v>
      </c>
      <c r="X44" s="13">
        <f>'P_L Workings'!X135</f>
        <v>34542.857142857138</v>
      </c>
      <c r="Y44" s="13">
        <f>'P_L Workings'!Y135</f>
        <v>32314.285714285714</v>
      </c>
      <c r="Z44" s="13">
        <f>'P_L Workings'!Z135</f>
        <v>34542.857142857138</v>
      </c>
      <c r="AA44" s="13">
        <f>'P_L Workings'!AA135</f>
        <v>20057.142857142855</v>
      </c>
      <c r="AB44" s="13">
        <f>'P_L Workings'!AB135</f>
        <v>31200</v>
      </c>
      <c r="AC44" s="13">
        <f>'P_L Workings'!AC135</f>
        <v>34542.857142857138</v>
      </c>
      <c r="AD44" s="13">
        <f>'P_L Workings'!AD135</f>
        <v>32314.285714285714</v>
      </c>
      <c r="AE44" s="13">
        <f>'P_L Workings'!AE135</f>
        <v>34542.857142857138</v>
      </c>
      <c r="AF44" s="13">
        <f>'P_L Workings'!AF135</f>
        <v>33428.571428571428</v>
      </c>
      <c r="AG44" s="13">
        <f>'P_L Workings'!AG135</f>
        <v>34542.857142857138</v>
      </c>
      <c r="AH44" s="13">
        <f>'P_L Workings'!AH135</f>
        <v>34542.857142857138</v>
      </c>
      <c r="AI44" s="13">
        <f>'P_L Workings'!AI135</f>
        <v>33428.571428571428</v>
      </c>
      <c r="AJ44" s="13">
        <f>'P_L Workings'!AJ135</f>
        <v>34542.857142857138</v>
      </c>
      <c r="AK44" s="13">
        <f>'P_L Workings'!AK135</f>
        <v>32314.285714285714</v>
      </c>
      <c r="AL44" s="13">
        <f>'P_L Workings'!AL135</f>
        <v>34542.857142857138</v>
      </c>
      <c r="AM44" s="13">
        <f>'P_L Workings'!AM135</f>
        <v>21171.428571428569</v>
      </c>
      <c r="AN44" s="13">
        <f>'P_L Workings'!AN135</f>
        <v>30085.714285714283</v>
      </c>
      <c r="AO44" s="13">
        <f>'P_L Workings'!AO135</f>
        <v>34542.857142857138</v>
      </c>
      <c r="AP44" s="13">
        <f>'P_L Workings'!AP135</f>
        <v>32314.285714285714</v>
      </c>
      <c r="AQ44" s="13">
        <f>'P_L Workings'!AQ135</f>
        <v>34542.857142857138</v>
      </c>
      <c r="AR44" s="13">
        <f>'P_L Workings'!AR135</f>
        <v>33428.571428571428</v>
      </c>
      <c r="AS44" s="13">
        <f>'P_L Workings'!AS135</f>
        <v>34542.857142857138</v>
      </c>
      <c r="AT44" s="13">
        <f>'P_L Workings'!AT135</f>
        <v>34542.857142857138</v>
      </c>
      <c r="AU44" s="13">
        <f>'P_L Workings'!AU135</f>
        <v>33428.571428571428</v>
      </c>
      <c r="AV44" s="13">
        <f>'P_L Workings'!AV135</f>
        <v>34542.857142857138</v>
      </c>
      <c r="AW44" s="13">
        <f>'P_L Workings'!AW135</f>
        <v>32314.285714285714</v>
      </c>
      <c r="AX44" s="13">
        <f>'P_L Workings'!AX135</f>
        <v>34542.857142857138</v>
      </c>
      <c r="AY44" s="13">
        <f>'P_L Workings'!AY135</f>
        <v>21171.428571428569</v>
      </c>
      <c r="AZ44" s="13">
        <f>'P_L Workings'!AZ135</f>
        <v>30085.714285714283</v>
      </c>
      <c r="BA44" s="13">
        <f>'P_L Workings'!BA135</f>
        <v>34542.857142857138</v>
      </c>
    </row>
    <row r="45" spans="1:53" ht="12.5" x14ac:dyDescent="0.25">
      <c r="B45" t="s">
        <v>37</v>
      </c>
      <c r="C45" s="13">
        <f>'P_L Workings'!C140</f>
        <v>0</v>
      </c>
      <c r="D45" s="13">
        <f>'P_L Workings'!D140</f>
        <v>0</v>
      </c>
      <c r="E45" s="13">
        <f>'P_L Workings'!E140</f>
        <v>6000</v>
      </c>
      <c r="F45" s="13">
        <f>'P_L Workings'!F140</f>
        <v>24857.142857142855</v>
      </c>
      <c r="G45" s="13">
        <f>'P_L Workings'!G140</f>
        <v>26571.428571428569</v>
      </c>
      <c r="H45" s="13">
        <f>'P_L Workings'!H140</f>
        <v>25714.285714285714</v>
      </c>
      <c r="I45" s="13">
        <f>'P_L Workings'!I140</f>
        <v>26571.428571428569</v>
      </c>
      <c r="J45" s="13">
        <f>'P_L Workings'!J140</f>
        <v>26571.428571428569</v>
      </c>
      <c r="K45" s="13">
        <f>'P_L Workings'!K140</f>
        <v>25714.285714285714</v>
      </c>
      <c r="L45" s="13">
        <f>'P_L Workings'!L140</f>
        <v>26571.428571428569</v>
      </c>
      <c r="M45" s="13">
        <f>'P_L Workings'!M140</f>
        <v>24857.142857142855</v>
      </c>
      <c r="N45" s="13">
        <f>'P_L Workings'!N140</f>
        <v>26571.428571428569</v>
      </c>
      <c r="O45" s="13">
        <f>'P_L Workings'!O140</f>
        <v>16285.714285714284</v>
      </c>
      <c r="P45" s="13">
        <f>'P_L Workings'!P140</f>
        <v>23142.857142857141</v>
      </c>
      <c r="Q45" s="13">
        <f>'P_L Workings'!Q140</f>
        <v>26571.428571428569</v>
      </c>
      <c r="R45" s="13">
        <f>'P_L Workings'!R140</f>
        <v>24857.142857142855</v>
      </c>
      <c r="S45" s="13">
        <f>'P_L Workings'!S140</f>
        <v>26571.428571428569</v>
      </c>
      <c r="T45" s="13">
        <f>'P_L Workings'!T140</f>
        <v>25714.285714285714</v>
      </c>
      <c r="U45" s="13">
        <f>'P_L Workings'!U140</f>
        <v>26571.428571428569</v>
      </c>
      <c r="V45" s="13">
        <f>'P_L Workings'!V140</f>
        <v>26571.428571428569</v>
      </c>
      <c r="W45" s="13">
        <f>'P_L Workings'!W140</f>
        <v>25714.285714285714</v>
      </c>
      <c r="X45" s="13">
        <f>'P_L Workings'!X140</f>
        <v>26571.428571428569</v>
      </c>
      <c r="Y45" s="13">
        <f>'P_L Workings'!Y140</f>
        <v>24857.142857142855</v>
      </c>
      <c r="Z45" s="13">
        <f>'P_L Workings'!Z140</f>
        <v>26571.428571428569</v>
      </c>
      <c r="AA45" s="13">
        <f>'P_L Workings'!AA140</f>
        <v>15428.571428571428</v>
      </c>
      <c r="AB45" s="13">
        <f>'P_L Workings'!AB140</f>
        <v>24000</v>
      </c>
      <c r="AC45" s="13">
        <f>'P_L Workings'!AC140</f>
        <v>26571.428571428569</v>
      </c>
      <c r="AD45" s="13">
        <f>'P_L Workings'!AD140</f>
        <v>24857.142857142855</v>
      </c>
      <c r="AE45" s="13">
        <f>'P_L Workings'!AE140</f>
        <v>26571.428571428569</v>
      </c>
      <c r="AF45" s="13">
        <f>'P_L Workings'!AF140</f>
        <v>25714.285714285714</v>
      </c>
      <c r="AG45" s="13">
        <f>'P_L Workings'!AG140</f>
        <v>26571.428571428569</v>
      </c>
      <c r="AH45" s="13">
        <f>'P_L Workings'!AH140</f>
        <v>26571.428571428569</v>
      </c>
      <c r="AI45" s="13">
        <f>'P_L Workings'!AI140</f>
        <v>25714.285714285714</v>
      </c>
      <c r="AJ45" s="13">
        <f>'P_L Workings'!AJ140</f>
        <v>26571.428571428569</v>
      </c>
      <c r="AK45" s="13">
        <f>'P_L Workings'!AK140</f>
        <v>24857.142857142855</v>
      </c>
      <c r="AL45" s="13">
        <f>'P_L Workings'!AL140</f>
        <v>26571.428571428569</v>
      </c>
      <c r="AM45" s="13">
        <f>'P_L Workings'!AM140</f>
        <v>16285.714285714284</v>
      </c>
      <c r="AN45" s="13">
        <f>'P_L Workings'!AN140</f>
        <v>23142.857142857141</v>
      </c>
      <c r="AO45" s="13">
        <f>'P_L Workings'!AO140</f>
        <v>26571.428571428569</v>
      </c>
      <c r="AP45" s="13">
        <f>'P_L Workings'!AP140</f>
        <v>24857.142857142855</v>
      </c>
      <c r="AQ45" s="13">
        <f>'P_L Workings'!AQ140</f>
        <v>26571.428571428569</v>
      </c>
      <c r="AR45" s="13">
        <f>'P_L Workings'!AR140</f>
        <v>25714.285714285714</v>
      </c>
      <c r="AS45" s="13">
        <f>'P_L Workings'!AS140</f>
        <v>26571.428571428569</v>
      </c>
      <c r="AT45" s="13">
        <f>'P_L Workings'!AT140</f>
        <v>26571.428571428569</v>
      </c>
      <c r="AU45" s="13">
        <f>'P_L Workings'!AU140</f>
        <v>25714.285714285714</v>
      </c>
      <c r="AV45" s="13">
        <f>'P_L Workings'!AV140</f>
        <v>26571.428571428569</v>
      </c>
      <c r="AW45" s="13">
        <f>'P_L Workings'!AW140</f>
        <v>24857.142857142855</v>
      </c>
      <c r="AX45" s="13">
        <f>'P_L Workings'!AX140</f>
        <v>26571.428571428569</v>
      </c>
      <c r="AY45" s="13">
        <f>'P_L Workings'!AY140</f>
        <v>16285.714285714284</v>
      </c>
      <c r="AZ45" s="13">
        <f>'P_L Workings'!AZ140</f>
        <v>23142.857142857141</v>
      </c>
      <c r="BA45" s="13">
        <f>'P_L Workings'!BA140</f>
        <v>26571.428571428569</v>
      </c>
    </row>
    <row r="46" spans="1:53" ht="14" x14ac:dyDescent="0.3">
      <c r="B46" s="19" t="s">
        <v>3</v>
      </c>
      <c r="C46" s="15">
        <f t="shared" ref="C46:AH46" si="2">SUM(C33:C45)</f>
        <v>0</v>
      </c>
      <c r="D46" s="15">
        <f t="shared" si="2"/>
        <v>0</v>
      </c>
      <c r="E46" s="15">
        <f t="shared" si="2"/>
        <v>296779.097948718</v>
      </c>
      <c r="F46" s="15">
        <f t="shared" si="2"/>
        <v>1236989.6933333334</v>
      </c>
      <c r="G46" s="15">
        <f t="shared" si="2"/>
        <v>1285996.3733333333</v>
      </c>
      <c r="H46" s="15">
        <f t="shared" si="2"/>
        <v>1261493.0333333332</v>
      </c>
      <c r="I46" s="15">
        <f t="shared" si="2"/>
        <v>1285996.3733333333</v>
      </c>
      <c r="J46" s="15">
        <f t="shared" si="2"/>
        <v>1285996.3733333333</v>
      </c>
      <c r="K46" s="15">
        <f t="shared" si="2"/>
        <v>1261493.0333333332</v>
      </c>
      <c r="L46" s="15">
        <f t="shared" si="2"/>
        <v>1285996.3733333333</v>
      </c>
      <c r="M46" s="15">
        <f t="shared" si="2"/>
        <v>1236989.6933333334</v>
      </c>
      <c r="N46" s="15">
        <f t="shared" si="2"/>
        <v>1285996.3733333333</v>
      </c>
      <c r="O46" s="15">
        <f t="shared" si="2"/>
        <v>991956.29333333345</v>
      </c>
      <c r="P46" s="15">
        <f t="shared" si="2"/>
        <v>1187983.0133333332</v>
      </c>
      <c r="Q46" s="15">
        <f t="shared" si="2"/>
        <v>1285996.3733333333</v>
      </c>
      <c r="R46" s="15">
        <f t="shared" si="2"/>
        <v>1236989.6933333334</v>
      </c>
      <c r="S46" s="15">
        <f t="shared" si="2"/>
        <v>1285996.3733333333</v>
      </c>
      <c r="T46" s="15">
        <f t="shared" si="2"/>
        <v>1261493.0333333332</v>
      </c>
      <c r="U46" s="15">
        <f t="shared" si="2"/>
        <v>1285996.3733333333</v>
      </c>
      <c r="V46" s="15">
        <f t="shared" si="2"/>
        <v>1285996.3733333333</v>
      </c>
      <c r="W46" s="15">
        <f t="shared" si="2"/>
        <v>1261493.0333333332</v>
      </c>
      <c r="X46" s="15">
        <f t="shared" si="2"/>
        <v>1285996.3733333333</v>
      </c>
      <c r="Y46" s="15">
        <f t="shared" si="2"/>
        <v>1236989.6933333334</v>
      </c>
      <c r="Z46" s="15">
        <f t="shared" si="2"/>
        <v>1285996.3733333333</v>
      </c>
      <c r="AA46" s="15">
        <f t="shared" si="2"/>
        <v>967452.95333333337</v>
      </c>
      <c r="AB46" s="15">
        <f t="shared" si="2"/>
        <v>1212486.3533333335</v>
      </c>
      <c r="AC46" s="15">
        <f t="shared" si="2"/>
        <v>1285996.3733333333</v>
      </c>
      <c r="AD46" s="15">
        <f t="shared" si="2"/>
        <v>1236989.6933333334</v>
      </c>
      <c r="AE46" s="15">
        <f t="shared" si="2"/>
        <v>1285996.3733333333</v>
      </c>
      <c r="AF46" s="15">
        <f t="shared" si="2"/>
        <v>1261493.0333333332</v>
      </c>
      <c r="AG46" s="15">
        <f t="shared" si="2"/>
        <v>1285996.3733333333</v>
      </c>
      <c r="AH46" s="15">
        <f t="shared" si="2"/>
        <v>1285996.3733333333</v>
      </c>
      <c r="AI46" s="15">
        <f t="shared" ref="AI46:BA46" si="3">SUM(AI33:AI45)</f>
        <v>1261493.0333333332</v>
      </c>
      <c r="AJ46" s="15">
        <f t="shared" si="3"/>
        <v>1285996.3733333333</v>
      </c>
      <c r="AK46" s="15">
        <f t="shared" si="3"/>
        <v>1236989.6933333334</v>
      </c>
      <c r="AL46" s="15">
        <f t="shared" si="3"/>
        <v>1285996.3733333333</v>
      </c>
      <c r="AM46" s="15">
        <f t="shared" si="3"/>
        <v>991956.29333333345</v>
      </c>
      <c r="AN46" s="15">
        <f t="shared" si="3"/>
        <v>1187983.0133333332</v>
      </c>
      <c r="AO46" s="15">
        <f t="shared" si="3"/>
        <v>1285996.3733333333</v>
      </c>
      <c r="AP46" s="15">
        <f t="shared" si="3"/>
        <v>1236989.6933333334</v>
      </c>
      <c r="AQ46" s="15">
        <f t="shared" si="3"/>
        <v>1285996.3733333333</v>
      </c>
      <c r="AR46" s="15">
        <f t="shared" si="3"/>
        <v>1261493.0333333332</v>
      </c>
      <c r="AS46" s="15">
        <f t="shared" si="3"/>
        <v>1285996.3733333333</v>
      </c>
      <c r="AT46" s="15">
        <f t="shared" si="3"/>
        <v>1285996.3733333333</v>
      </c>
      <c r="AU46" s="15">
        <f t="shared" si="3"/>
        <v>1261493.0333333332</v>
      </c>
      <c r="AV46" s="15">
        <f t="shared" si="3"/>
        <v>1285996.3733333333</v>
      </c>
      <c r="AW46" s="15">
        <f t="shared" si="3"/>
        <v>1236989.6933333334</v>
      </c>
      <c r="AX46" s="15">
        <f t="shared" si="3"/>
        <v>1285996.3733333333</v>
      </c>
      <c r="AY46" s="15">
        <f t="shared" si="3"/>
        <v>991956.29333333345</v>
      </c>
      <c r="AZ46" s="15">
        <f t="shared" si="3"/>
        <v>1187983.0133333332</v>
      </c>
      <c r="BA46" s="15">
        <f t="shared" si="3"/>
        <v>1285996.3733333333</v>
      </c>
    </row>
    <row r="47" spans="1:53" ht="6" customHeight="1" x14ac:dyDescent="0.25"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</row>
    <row r="48" spans="1:53" ht="15.5" x14ac:dyDescent="0.35">
      <c r="A48" s="17" t="s">
        <v>38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</row>
    <row r="49" spans="1:53" ht="12.5" x14ac:dyDescent="0.25">
      <c r="B49" t="s">
        <v>39</v>
      </c>
      <c r="C49" s="13">
        <f>'P_L Workings'!C145</f>
        <v>0</v>
      </c>
      <c r="D49" s="13">
        <f>'P_L Workings'!D145</f>
        <v>0</v>
      </c>
      <c r="E49" s="13">
        <f>'P_L Workings'!E145</f>
        <v>120000</v>
      </c>
      <c r="F49" s="13">
        <f>'P_L Workings'!F145</f>
        <v>10000</v>
      </c>
      <c r="G49" s="13">
        <f>'P_L Workings'!G145</f>
        <v>10000</v>
      </c>
      <c r="H49" s="13">
        <f>'P_L Workings'!H145</f>
        <v>10000</v>
      </c>
      <c r="I49" s="13">
        <f>'P_L Workings'!I145</f>
        <v>10000</v>
      </c>
      <c r="J49" s="13">
        <f>'P_L Workings'!J145</f>
        <v>10000</v>
      </c>
      <c r="K49" s="13">
        <f>'P_L Workings'!K145</f>
        <v>10000</v>
      </c>
      <c r="L49" s="13">
        <f>'P_L Workings'!L145</f>
        <v>10000</v>
      </c>
      <c r="M49" s="13">
        <f>'P_L Workings'!M145</f>
        <v>10000</v>
      </c>
      <c r="N49" s="13">
        <f>'P_L Workings'!N145</f>
        <v>10000</v>
      </c>
      <c r="O49" s="13">
        <f>'P_L Workings'!O145</f>
        <v>10000</v>
      </c>
      <c r="P49" s="13">
        <f>'P_L Workings'!P145</f>
        <v>10000</v>
      </c>
      <c r="Q49" s="13">
        <f>'P_L Workings'!Q145</f>
        <v>10000</v>
      </c>
      <c r="R49" s="13">
        <f>'P_L Workings'!R145</f>
        <v>10000</v>
      </c>
      <c r="S49" s="13">
        <f>'P_L Workings'!S145</f>
        <v>10000</v>
      </c>
      <c r="T49" s="13">
        <f>'P_L Workings'!T145</f>
        <v>10000</v>
      </c>
      <c r="U49" s="13">
        <f>'P_L Workings'!U145</f>
        <v>10000</v>
      </c>
      <c r="V49" s="13">
        <f>'P_L Workings'!V145</f>
        <v>10000</v>
      </c>
      <c r="W49" s="13">
        <f>'P_L Workings'!W145</f>
        <v>10000</v>
      </c>
      <c r="X49" s="13">
        <f>'P_L Workings'!X145</f>
        <v>10000</v>
      </c>
      <c r="Y49" s="13">
        <f>'P_L Workings'!Y145</f>
        <v>10000</v>
      </c>
      <c r="Z49" s="13">
        <f>'P_L Workings'!Z145</f>
        <v>10000</v>
      </c>
      <c r="AA49" s="13">
        <f>'P_L Workings'!AA145</f>
        <v>10000</v>
      </c>
      <c r="AB49" s="13">
        <f>'P_L Workings'!AB145</f>
        <v>10000</v>
      </c>
      <c r="AC49" s="13">
        <f>'P_L Workings'!AC145</f>
        <v>10000</v>
      </c>
      <c r="AD49" s="13">
        <f>'P_L Workings'!AD145</f>
        <v>10000</v>
      </c>
      <c r="AE49" s="13">
        <f>'P_L Workings'!AE145</f>
        <v>10000</v>
      </c>
      <c r="AF49" s="13">
        <f>'P_L Workings'!AF145</f>
        <v>10000</v>
      </c>
      <c r="AG49" s="13">
        <f>'P_L Workings'!AG145</f>
        <v>10000</v>
      </c>
      <c r="AH49" s="13">
        <f>'P_L Workings'!AH145</f>
        <v>10000</v>
      </c>
      <c r="AI49" s="13">
        <f>'P_L Workings'!AI145</f>
        <v>10000</v>
      </c>
      <c r="AJ49" s="13">
        <f>'P_L Workings'!AJ145</f>
        <v>10000</v>
      </c>
      <c r="AK49" s="13">
        <f>'P_L Workings'!AK145</f>
        <v>10000</v>
      </c>
      <c r="AL49" s="13">
        <f>'P_L Workings'!AL145</f>
        <v>10000</v>
      </c>
      <c r="AM49" s="13">
        <f>'P_L Workings'!AM145</f>
        <v>10000</v>
      </c>
      <c r="AN49" s="13">
        <f>'P_L Workings'!AN145</f>
        <v>10000</v>
      </c>
      <c r="AO49" s="13">
        <f>'P_L Workings'!AO145</f>
        <v>10000</v>
      </c>
      <c r="AP49" s="13">
        <f>'P_L Workings'!AP145</f>
        <v>10000</v>
      </c>
      <c r="AQ49" s="13">
        <f>'P_L Workings'!AQ145</f>
        <v>10000</v>
      </c>
      <c r="AR49" s="13">
        <f>'P_L Workings'!AR145</f>
        <v>10000</v>
      </c>
      <c r="AS49" s="13">
        <f>'P_L Workings'!AS145</f>
        <v>10000</v>
      </c>
      <c r="AT49" s="13">
        <f>'P_L Workings'!AT145</f>
        <v>10000</v>
      </c>
      <c r="AU49" s="13">
        <f>'P_L Workings'!AU145</f>
        <v>10000</v>
      </c>
      <c r="AV49" s="13">
        <f>'P_L Workings'!AV145</f>
        <v>10000</v>
      </c>
      <c r="AW49" s="13">
        <f>'P_L Workings'!AW145</f>
        <v>10000</v>
      </c>
      <c r="AX49" s="13">
        <f>'P_L Workings'!AX145</f>
        <v>10000</v>
      </c>
      <c r="AY49" s="13">
        <f>'P_L Workings'!AY145</f>
        <v>10000</v>
      </c>
      <c r="AZ49" s="13">
        <f>'P_L Workings'!AZ145</f>
        <v>10000</v>
      </c>
      <c r="BA49" s="13">
        <f>'P_L Workings'!BA145</f>
        <v>10000</v>
      </c>
    </row>
    <row r="50" spans="1:53" ht="12.5" x14ac:dyDescent="0.25">
      <c r="B50" t="s">
        <v>40</v>
      </c>
      <c r="C50" s="13">
        <f>'P_L Workings'!C146</f>
        <v>0</v>
      </c>
      <c r="D50" s="13">
        <f>'P_L Workings'!D146</f>
        <v>0</v>
      </c>
      <c r="E50" s="13">
        <f>'P_L Workings'!E146</f>
        <v>0</v>
      </c>
      <c r="F50" s="13">
        <f>'P_L Workings'!F146</f>
        <v>6250</v>
      </c>
      <c r="G50" s="13">
        <f>'P_L Workings'!G146</f>
        <v>6250</v>
      </c>
      <c r="H50" s="13">
        <f>'P_L Workings'!H146</f>
        <v>6250</v>
      </c>
      <c r="I50" s="13">
        <f>'P_L Workings'!I146</f>
        <v>6250</v>
      </c>
      <c r="J50" s="13">
        <f>'P_L Workings'!J146</f>
        <v>6250</v>
      </c>
      <c r="K50" s="13">
        <f>'P_L Workings'!K146</f>
        <v>6250</v>
      </c>
      <c r="L50" s="13">
        <f>'P_L Workings'!L146</f>
        <v>6250</v>
      </c>
      <c r="M50" s="13">
        <f>'P_L Workings'!M146</f>
        <v>6250</v>
      </c>
      <c r="N50" s="13">
        <f>'P_L Workings'!N146</f>
        <v>6250</v>
      </c>
      <c r="O50" s="13">
        <f>'P_L Workings'!O146</f>
        <v>6250</v>
      </c>
      <c r="P50" s="13">
        <f>'P_L Workings'!P146</f>
        <v>6250</v>
      </c>
      <c r="Q50" s="13">
        <f>'P_L Workings'!Q146</f>
        <v>6250</v>
      </c>
      <c r="R50" s="13">
        <f>'P_L Workings'!R146</f>
        <v>6250</v>
      </c>
      <c r="S50" s="13">
        <f>'P_L Workings'!S146</f>
        <v>6250</v>
      </c>
      <c r="T50" s="13">
        <f>'P_L Workings'!T146</f>
        <v>6250</v>
      </c>
      <c r="U50" s="13">
        <f>'P_L Workings'!U146</f>
        <v>6250</v>
      </c>
      <c r="V50" s="13">
        <f>'P_L Workings'!V146</f>
        <v>6250</v>
      </c>
      <c r="W50" s="13">
        <f>'P_L Workings'!W146</f>
        <v>6250</v>
      </c>
      <c r="X50" s="13">
        <f>'P_L Workings'!X146</f>
        <v>6250</v>
      </c>
      <c r="Y50" s="13">
        <f>'P_L Workings'!Y146</f>
        <v>6250</v>
      </c>
      <c r="Z50" s="13">
        <f>'P_L Workings'!Z146</f>
        <v>6250</v>
      </c>
      <c r="AA50" s="13">
        <f>'P_L Workings'!AA146</f>
        <v>6250</v>
      </c>
      <c r="AB50" s="13">
        <f>'P_L Workings'!AB146</f>
        <v>6250</v>
      </c>
      <c r="AC50" s="13">
        <f>'P_L Workings'!AC146</f>
        <v>6250</v>
      </c>
      <c r="AD50" s="13">
        <f>'P_L Workings'!AD146</f>
        <v>6250</v>
      </c>
      <c r="AE50" s="13">
        <f>'P_L Workings'!AE146</f>
        <v>6250</v>
      </c>
      <c r="AF50" s="13">
        <f>'P_L Workings'!AF146</f>
        <v>6250</v>
      </c>
      <c r="AG50" s="13">
        <f>'P_L Workings'!AG146</f>
        <v>6250</v>
      </c>
      <c r="AH50" s="13">
        <f>'P_L Workings'!AH146</f>
        <v>6250</v>
      </c>
      <c r="AI50" s="13">
        <f>'P_L Workings'!AI146</f>
        <v>6250</v>
      </c>
      <c r="AJ50" s="13">
        <f>'P_L Workings'!AJ146</f>
        <v>6250</v>
      </c>
      <c r="AK50" s="13">
        <f>'P_L Workings'!AK146</f>
        <v>6250</v>
      </c>
      <c r="AL50" s="13">
        <f>'P_L Workings'!AL146</f>
        <v>6250</v>
      </c>
      <c r="AM50" s="13">
        <f>'P_L Workings'!AM146</f>
        <v>6250</v>
      </c>
      <c r="AN50" s="13">
        <f>'P_L Workings'!AN146</f>
        <v>6250</v>
      </c>
      <c r="AO50" s="13">
        <f>'P_L Workings'!AO146</f>
        <v>6250</v>
      </c>
      <c r="AP50" s="13">
        <f>'P_L Workings'!AP146</f>
        <v>6250</v>
      </c>
      <c r="AQ50" s="13">
        <f>'P_L Workings'!AQ146</f>
        <v>6250</v>
      </c>
      <c r="AR50" s="13">
        <f>'P_L Workings'!AR146</f>
        <v>6250</v>
      </c>
      <c r="AS50" s="13">
        <f>'P_L Workings'!AS146</f>
        <v>6250</v>
      </c>
      <c r="AT50" s="13">
        <f>'P_L Workings'!AT146</f>
        <v>6250</v>
      </c>
      <c r="AU50" s="13">
        <f>'P_L Workings'!AU146</f>
        <v>6250</v>
      </c>
      <c r="AV50" s="13">
        <f>'P_L Workings'!AV146</f>
        <v>6250</v>
      </c>
      <c r="AW50" s="13">
        <f>'P_L Workings'!AW146</f>
        <v>6250</v>
      </c>
      <c r="AX50" s="13">
        <f>'P_L Workings'!AX146</f>
        <v>6250</v>
      </c>
      <c r="AY50" s="13">
        <f>'P_L Workings'!AY146</f>
        <v>6250</v>
      </c>
      <c r="AZ50" s="13">
        <f>'P_L Workings'!AZ146</f>
        <v>6250</v>
      </c>
      <c r="BA50" s="13">
        <f>'P_L Workings'!BA146</f>
        <v>6250</v>
      </c>
    </row>
    <row r="51" spans="1:53" ht="12.5" x14ac:dyDescent="0.25">
      <c r="B51" t="s">
        <v>41</v>
      </c>
      <c r="C51" s="13">
        <f>'P_L Workings'!C147</f>
        <v>0</v>
      </c>
      <c r="D51" s="13">
        <f>'P_L Workings'!D147</f>
        <v>0</v>
      </c>
      <c r="E51" s="13">
        <f>'P_L Workings'!E147</f>
        <v>0</v>
      </c>
      <c r="F51" s="13">
        <f>'P_L Workings'!F147</f>
        <v>4166.666666666667</v>
      </c>
      <c r="G51" s="13">
        <f>'P_L Workings'!G147</f>
        <v>4166.666666666667</v>
      </c>
      <c r="H51" s="13">
        <f>'P_L Workings'!H147</f>
        <v>4166.666666666667</v>
      </c>
      <c r="I51" s="13">
        <f>'P_L Workings'!I147</f>
        <v>4166.666666666667</v>
      </c>
      <c r="J51" s="13">
        <f>'P_L Workings'!J147</f>
        <v>4166.666666666667</v>
      </c>
      <c r="K51" s="13">
        <f>'P_L Workings'!K147</f>
        <v>4166.666666666667</v>
      </c>
      <c r="L51" s="13">
        <f>'P_L Workings'!L147</f>
        <v>4166.666666666667</v>
      </c>
      <c r="M51" s="13">
        <f>'P_L Workings'!M147</f>
        <v>4166.666666666667</v>
      </c>
      <c r="N51" s="13">
        <f>'P_L Workings'!N147</f>
        <v>4166.666666666667</v>
      </c>
      <c r="O51" s="13">
        <f>'P_L Workings'!O147</f>
        <v>4166.666666666667</v>
      </c>
      <c r="P51" s="13">
        <f>'P_L Workings'!P147</f>
        <v>4166.666666666667</v>
      </c>
      <c r="Q51" s="13">
        <f>'P_L Workings'!Q147</f>
        <v>4166.666666666667</v>
      </c>
      <c r="R51" s="13">
        <f>'P_L Workings'!R147</f>
        <v>4166.666666666667</v>
      </c>
      <c r="S51" s="13">
        <f>'P_L Workings'!S147</f>
        <v>4166.666666666667</v>
      </c>
      <c r="T51" s="13">
        <f>'P_L Workings'!T147</f>
        <v>4166.666666666667</v>
      </c>
      <c r="U51" s="13">
        <f>'P_L Workings'!U147</f>
        <v>4166.666666666667</v>
      </c>
      <c r="V51" s="13">
        <f>'P_L Workings'!V147</f>
        <v>4166.666666666667</v>
      </c>
      <c r="W51" s="13">
        <f>'P_L Workings'!W147</f>
        <v>4166.666666666667</v>
      </c>
      <c r="X51" s="13">
        <f>'P_L Workings'!X147</f>
        <v>4166.666666666667</v>
      </c>
      <c r="Y51" s="13">
        <f>'P_L Workings'!Y147</f>
        <v>4166.666666666667</v>
      </c>
      <c r="Z51" s="13">
        <f>'P_L Workings'!Z147</f>
        <v>4166.666666666667</v>
      </c>
      <c r="AA51" s="13">
        <f>'P_L Workings'!AA147</f>
        <v>4166.666666666667</v>
      </c>
      <c r="AB51" s="13">
        <f>'P_L Workings'!AB147</f>
        <v>4166.666666666667</v>
      </c>
      <c r="AC51" s="13">
        <f>'P_L Workings'!AC147</f>
        <v>4166.666666666667</v>
      </c>
      <c r="AD51" s="13">
        <f>'P_L Workings'!AD147</f>
        <v>4166.666666666667</v>
      </c>
      <c r="AE51" s="13">
        <f>'P_L Workings'!AE147</f>
        <v>4166.666666666667</v>
      </c>
      <c r="AF51" s="13">
        <f>'P_L Workings'!AF147</f>
        <v>4166.666666666667</v>
      </c>
      <c r="AG51" s="13">
        <f>'P_L Workings'!AG147</f>
        <v>4166.666666666667</v>
      </c>
      <c r="AH51" s="13">
        <f>'P_L Workings'!AH147</f>
        <v>4166.666666666667</v>
      </c>
      <c r="AI51" s="13">
        <f>'P_L Workings'!AI147</f>
        <v>4166.666666666667</v>
      </c>
      <c r="AJ51" s="13">
        <f>'P_L Workings'!AJ147</f>
        <v>4166.666666666667</v>
      </c>
      <c r="AK51" s="13">
        <f>'P_L Workings'!AK147</f>
        <v>4166.666666666667</v>
      </c>
      <c r="AL51" s="13">
        <f>'P_L Workings'!AL147</f>
        <v>4166.666666666667</v>
      </c>
      <c r="AM51" s="13">
        <f>'P_L Workings'!AM147</f>
        <v>4166.666666666667</v>
      </c>
      <c r="AN51" s="13">
        <f>'P_L Workings'!AN147</f>
        <v>4166.666666666667</v>
      </c>
      <c r="AO51" s="13">
        <f>'P_L Workings'!AO147</f>
        <v>4166.666666666667</v>
      </c>
      <c r="AP51" s="13">
        <f>'P_L Workings'!AP147</f>
        <v>4166.666666666667</v>
      </c>
      <c r="AQ51" s="13">
        <f>'P_L Workings'!AQ147</f>
        <v>4166.666666666667</v>
      </c>
      <c r="AR51" s="13">
        <f>'P_L Workings'!AR147</f>
        <v>4166.666666666667</v>
      </c>
      <c r="AS51" s="13">
        <f>'P_L Workings'!AS147</f>
        <v>4166.666666666667</v>
      </c>
      <c r="AT51" s="13">
        <f>'P_L Workings'!AT147</f>
        <v>4166.666666666667</v>
      </c>
      <c r="AU51" s="13">
        <f>'P_L Workings'!AU147</f>
        <v>4166.666666666667</v>
      </c>
      <c r="AV51" s="13">
        <f>'P_L Workings'!AV147</f>
        <v>4166.666666666667</v>
      </c>
      <c r="AW51" s="13">
        <f>'P_L Workings'!AW147</f>
        <v>4166.666666666667</v>
      </c>
      <c r="AX51" s="13">
        <f>'P_L Workings'!AX147</f>
        <v>4166.666666666667</v>
      </c>
      <c r="AY51" s="13">
        <f>'P_L Workings'!AY147</f>
        <v>4166.666666666667</v>
      </c>
      <c r="AZ51" s="13">
        <f>'P_L Workings'!AZ147</f>
        <v>4166.666666666667</v>
      </c>
      <c r="BA51" s="13">
        <f>'P_L Workings'!BA147</f>
        <v>4166.666666666667</v>
      </c>
    </row>
    <row r="52" spans="1:53" ht="12.5" x14ac:dyDescent="0.25">
      <c r="B52" t="s">
        <v>42</v>
      </c>
      <c r="C52" s="13">
        <f>'P_L Workings'!C148</f>
        <v>0</v>
      </c>
      <c r="D52" s="13">
        <f>'P_L Workings'!D148</f>
        <v>0</v>
      </c>
      <c r="E52" s="13">
        <f>'P_L Workings'!E148</f>
        <v>480000</v>
      </c>
      <c r="F52" s="13">
        <f>'P_L Workings'!F148</f>
        <v>8333.3333333333339</v>
      </c>
      <c r="G52" s="13">
        <f>'P_L Workings'!G148</f>
        <v>8333.3333333333339</v>
      </c>
      <c r="H52" s="13">
        <f>'P_L Workings'!H148</f>
        <v>8333.3333333333339</v>
      </c>
      <c r="I52" s="13">
        <f>'P_L Workings'!I148</f>
        <v>8333.3333333333339</v>
      </c>
      <c r="J52" s="13">
        <f>'P_L Workings'!J148</f>
        <v>8333.3333333333339</v>
      </c>
      <c r="K52" s="13">
        <f>'P_L Workings'!K148</f>
        <v>8333.3333333333339</v>
      </c>
      <c r="L52" s="13">
        <f>'P_L Workings'!L148</f>
        <v>8333.3333333333339</v>
      </c>
      <c r="M52" s="13">
        <f>'P_L Workings'!M148</f>
        <v>8333.3333333333339</v>
      </c>
      <c r="N52" s="13">
        <f>'P_L Workings'!N148</f>
        <v>8333.3333333333339</v>
      </c>
      <c r="O52" s="13">
        <f>'P_L Workings'!O148</f>
        <v>8333.3333333333339</v>
      </c>
      <c r="P52" s="13">
        <f>'P_L Workings'!P148</f>
        <v>8333.3333333333339</v>
      </c>
      <c r="Q52" s="13">
        <f>'P_L Workings'!Q148</f>
        <v>8333.3333333333339</v>
      </c>
      <c r="R52" s="13">
        <f>'P_L Workings'!R148</f>
        <v>8333.3333333333339</v>
      </c>
      <c r="S52" s="13">
        <f>'P_L Workings'!S148</f>
        <v>8333.3333333333339</v>
      </c>
      <c r="T52" s="13">
        <f>'P_L Workings'!T148</f>
        <v>8333.3333333333339</v>
      </c>
      <c r="U52" s="13">
        <f>'P_L Workings'!U148</f>
        <v>8333.3333333333339</v>
      </c>
      <c r="V52" s="13">
        <f>'P_L Workings'!V148</f>
        <v>8333.3333333333339</v>
      </c>
      <c r="W52" s="13">
        <f>'P_L Workings'!W148</f>
        <v>8333.3333333333339</v>
      </c>
      <c r="X52" s="13">
        <f>'P_L Workings'!X148</f>
        <v>8333.3333333333339</v>
      </c>
      <c r="Y52" s="13">
        <f>'P_L Workings'!Y148</f>
        <v>8333.3333333333339</v>
      </c>
      <c r="Z52" s="13">
        <f>'P_L Workings'!Z148</f>
        <v>8333.3333333333339</v>
      </c>
      <c r="AA52" s="13">
        <f>'P_L Workings'!AA148</f>
        <v>8333.3333333333339</v>
      </c>
      <c r="AB52" s="13">
        <f>'P_L Workings'!AB148</f>
        <v>8333.3333333333339</v>
      </c>
      <c r="AC52" s="13">
        <f>'P_L Workings'!AC148</f>
        <v>8333.3333333333339</v>
      </c>
      <c r="AD52" s="13">
        <f>'P_L Workings'!AD148</f>
        <v>8333.3333333333339</v>
      </c>
      <c r="AE52" s="13">
        <f>'P_L Workings'!AE148</f>
        <v>8333.3333333333339</v>
      </c>
      <c r="AF52" s="13">
        <f>'P_L Workings'!AF148</f>
        <v>8333.3333333333339</v>
      </c>
      <c r="AG52" s="13">
        <f>'P_L Workings'!AG148</f>
        <v>8333.3333333333339</v>
      </c>
      <c r="AH52" s="13">
        <f>'P_L Workings'!AH148</f>
        <v>8333.3333333333339</v>
      </c>
      <c r="AI52" s="13">
        <f>'P_L Workings'!AI148</f>
        <v>8333.3333333333339</v>
      </c>
      <c r="AJ52" s="13">
        <f>'P_L Workings'!AJ148</f>
        <v>8333.3333333333339</v>
      </c>
      <c r="AK52" s="13">
        <f>'P_L Workings'!AK148</f>
        <v>8333.3333333333339</v>
      </c>
      <c r="AL52" s="13">
        <f>'P_L Workings'!AL148</f>
        <v>8333.3333333333339</v>
      </c>
      <c r="AM52" s="13">
        <f>'P_L Workings'!AM148</f>
        <v>8333.3333333333339</v>
      </c>
      <c r="AN52" s="13">
        <f>'P_L Workings'!AN148</f>
        <v>8333.3333333333339</v>
      </c>
      <c r="AO52" s="13">
        <f>'P_L Workings'!AO148</f>
        <v>8333.3333333333339</v>
      </c>
      <c r="AP52" s="13">
        <f>'P_L Workings'!AP148</f>
        <v>8333.3333333333339</v>
      </c>
      <c r="AQ52" s="13">
        <f>'P_L Workings'!AQ148</f>
        <v>8333.3333333333339</v>
      </c>
      <c r="AR52" s="13">
        <f>'P_L Workings'!AR148</f>
        <v>8333.3333333333339</v>
      </c>
      <c r="AS52" s="13">
        <f>'P_L Workings'!AS148</f>
        <v>8333.3333333333339</v>
      </c>
      <c r="AT52" s="13">
        <f>'P_L Workings'!AT148</f>
        <v>8333.3333333333339</v>
      </c>
      <c r="AU52" s="13">
        <f>'P_L Workings'!AU148</f>
        <v>8333.3333333333339</v>
      </c>
      <c r="AV52" s="13">
        <f>'P_L Workings'!AV148</f>
        <v>8333.3333333333339</v>
      </c>
      <c r="AW52" s="13">
        <f>'P_L Workings'!AW148</f>
        <v>8333.3333333333339</v>
      </c>
      <c r="AX52" s="13">
        <f>'P_L Workings'!AX148</f>
        <v>8333.3333333333339</v>
      </c>
      <c r="AY52" s="13">
        <f>'P_L Workings'!AY148</f>
        <v>8333.3333333333339</v>
      </c>
      <c r="AZ52" s="13">
        <f>'P_L Workings'!AZ148</f>
        <v>8333.3333333333339</v>
      </c>
      <c r="BA52" s="13">
        <f>'P_L Workings'!BA148</f>
        <v>8333.3333333333339</v>
      </c>
    </row>
    <row r="53" spans="1:53" ht="14" x14ac:dyDescent="0.3">
      <c r="B53" s="19" t="s">
        <v>3</v>
      </c>
      <c r="C53" s="15">
        <f t="shared" ref="C53:AH53" si="4">SUM(C49:C52)</f>
        <v>0</v>
      </c>
      <c r="D53" s="15">
        <f t="shared" si="4"/>
        <v>0</v>
      </c>
      <c r="E53" s="15">
        <f t="shared" si="4"/>
        <v>600000</v>
      </c>
      <c r="F53" s="15">
        <f t="shared" si="4"/>
        <v>28750</v>
      </c>
      <c r="G53" s="15">
        <f t="shared" si="4"/>
        <v>28750</v>
      </c>
      <c r="H53" s="15">
        <f t="shared" si="4"/>
        <v>28750</v>
      </c>
      <c r="I53" s="15">
        <f t="shared" si="4"/>
        <v>28750</v>
      </c>
      <c r="J53" s="15">
        <f t="shared" si="4"/>
        <v>28750</v>
      </c>
      <c r="K53" s="15">
        <f t="shared" si="4"/>
        <v>28750</v>
      </c>
      <c r="L53" s="15">
        <f t="shared" si="4"/>
        <v>28750</v>
      </c>
      <c r="M53" s="15">
        <f t="shared" si="4"/>
        <v>28750</v>
      </c>
      <c r="N53" s="15">
        <f t="shared" si="4"/>
        <v>28750</v>
      </c>
      <c r="O53" s="15">
        <f t="shared" si="4"/>
        <v>28750</v>
      </c>
      <c r="P53" s="15">
        <f t="shared" si="4"/>
        <v>28750</v>
      </c>
      <c r="Q53" s="15">
        <f t="shared" si="4"/>
        <v>28750</v>
      </c>
      <c r="R53" s="15">
        <f t="shared" si="4"/>
        <v>28750</v>
      </c>
      <c r="S53" s="15">
        <f t="shared" si="4"/>
        <v>28750</v>
      </c>
      <c r="T53" s="15">
        <f t="shared" si="4"/>
        <v>28750</v>
      </c>
      <c r="U53" s="15">
        <f t="shared" si="4"/>
        <v>28750</v>
      </c>
      <c r="V53" s="15">
        <f t="shared" si="4"/>
        <v>28750</v>
      </c>
      <c r="W53" s="15">
        <f t="shared" si="4"/>
        <v>28750</v>
      </c>
      <c r="X53" s="15">
        <f t="shared" si="4"/>
        <v>28750</v>
      </c>
      <c r="Y53" s="15">
        <f t="shared" si="4"/>
        <v>28750</v>
      </c>
      <c r="Z53" s="15">
        <f t="shared" si="4"/>
        <v>28750</v>
      </c>
      <c r="AA53" s="15">
        <f t="shared" si="4"/>
        <v>28750</v>
      </c>
      <c r="AB53" s="15">
        <f t="shared" si="4"/>
        <v>28750</v>
      </c>
      <c r="AC53" s="15">
        <f t="shared" si="4"/>
        <v>28750</v>
      </c>
      <c r="AD53" s="15">
        <f t="shared" si="4"/>
        <v>28750</v>
      </c>
      <c r="AE53" s="15">
        <f t="shared" si="4"/>
        <v>28750</v>
      </c>
      <c r="AF53" s="15">
        <f t="shared" si="4"/>
        <v>28750</v>
      </c>
      <c r="AG53" s="15">
        <f t="shared" si="4"/>
        <v>28750</v>
      </c>
      <c r="AH53" s="15">
        <f t="shared" si="4"/>
        <v>28750</v>
      </c>
      <c r="AI53" s="15">
        <f t="shared" ref="AI53:BA53" si="5">SUM(AI49:AI52)</f>
        <v>28750</v>
      </c>
      <c r="AJ53" s="15">
        <f t="shared" si="5"/>
        <v>28750</v>
      </c>
      <c r="AK53" s="15">
        <f t="shared" si="5"/>
        <v>28750</v>
      </c>
      <c r="AL53" s="15">
        <f t="shared" si="5"/>
        <v>28750</v>
      </c>
      <c r="AM53" s="15">
        <f t="shared" si="5"/>
        <v>28750</v>
      </c>
      <c r="AN53" s="15">
        <f t="shared" si="5"/>
        <v>28750</v>
      </c>
      <c r="AO53" s="15">
        <f t="shared" si="5"/>
        <v>28750</v>
      </c>
      <c r="AP53" s="15">
        <f t="shared" si="5"/>
        <v>28750</v>
      </c>
      <c r="AQ53" s="15">
        <f t="shared" si="5"/>
        <v>28750</v>
      </c>
      <c r="AR53" s="15">
        <f t="shared" si="5"/>
        <v>28750</v>
      </c>
      <c r="AS53" s="15">
        <f t="shared" si="5"/>
        <v>28750</v>
      </c>
      <c r="AT53" s="15">
        <f t="shared" si="5"/>
        <v>28750</v>
      </c>
      <c r="AU53" s="15">
        <f t="shared" si="5"/>
        <v>28750</v>
      </c>
      <c r="AV53" s="15">
        <f t="shared" si="5"/>
        <v>28750</v>
      </c>
      <c r="AW53" s="15">
        <f t="shared" si="5"/>
        <v>28750</v>
      </c>
      <c r="AX53" s="15">
        <f t="shared" si="5"/>
        <v>28750</v>
      </c>
      <c r="AY53" s="15">
        <f t="shared" si="5"/>
        <v>28750</v>
      </c>
      <c r="AZ53" s="15">
        <f t="shared" si="5"/>
        <v>28750</v>
      </c>
      <c r="BA53" s="15">
        <f t="shared" si="5"/>
        <v>28750</v>
      </c>
    </row>
    <row r="54" spans="1:53" ht="6" customHeight="1" x14ac:dyDescent="0.25"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</row>
    <row r="55" spans="1:53" ht="15.5" x14ac:dyDescent="0.35">
      <c r="A55" s="17" t="s">
        <v>43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</row>
    <row r="56" spans="1:53" ht="12.5" x14ac:dyDescent="0.25">
      <c r="B56" t="s">
        <v>44</v>
      </c>
      <c r="C56" s="13">
        <f>'P_L Workings'!C152</f>
        <v>0</v>
      </c>
      <c r="D56" s="13">
        <f>'P_L Workings'!D152</f>
        <v>0</v>
      </c>
      <c r="E56" s="13">
        <f>'P_L Workings'!E152</f>
        <v>23750</v>
      </c>
      <c r="F56" s="13">
        <f>'P_L Workings'!F152</f>
        <v>23750</v>
      </c>
      <c r="G56" s="13">
        <f>'P_L Workings'!G152</f>
        <v>23750</v>
      </c>
      <c r="H56" s="13">
        <f>'P_L Workings'!H152</f>
        <v>23750</v>
      </c>
      <c r="I56" s="13">
        <f>'P_L Workings'!I152</f>
        <v>23750</v>
      </c>
      <c r="J56" s="13">
        <f>'P_L Workings'!J152</f>
        <v>23750</v>
      </c>
      <c r="K56" s="13">
        <f>'P_L Workings'!K152</f>
        <v>23750</v>
      </c>
      <c r="L56" s="13">
        <f>'P_L Workings'!L152</f>
        <v>23750</v>
      </c>
      <c r="M56" s="13">
        <f>'P_L Workings'!M152</f>
        <v>23750</v>
      </c>
      <c r="N56" s="13">
        <f>'P_L Workings'!N152</f>
        <v>23750</v>
      </c>
      <c r="O56" s="13">
        <f>'P_L Workings'!O152</f>
        <v>23750</v>
      </c>
      <c r="P56" s="13">
        <f>'P_L Workings'!P152</f>
        <v>23750</v>
      </c>
      <c r="Q56" s="13">
        <f>'P_L Workings'!Q152</f>
        <v>23750</v>
      </c>
      <c r="R56" s="13">
        <f>'P_L Workings'!R152</f>
        <v>23750</v>
      </c>
      <c r="S56" s="13">
        <f>'P_L Workings'!S152</f>
        <v>23750</v>
      </c>
      <c r="T56" s="13">
        <f>'P_L Workings'!T152</f>
        <v>23750</v>
      </c>
      <c r="U56" s="13">
        <f>'P_L Workings'!U152</f>
        <v>23750</v>
      </c>
      <c r="V56" s="13">
        <f>'P_L Workings'!V152</f>
        <v>23750</v>
      </c>
      <c r="W56" s="13">
        <f>'P_L Workings'!W152</f>
        <v>23750</v>
      </c>
      <c r="X56" s="13">
        <f>'P_L Workings'!X152</f>
        <v>23750</v>
      </c>
      <c r="Y56" s="13">
        <f>'P_L Workings'!Y152</f>
        <v>23750</v>
      </c>
      <c r="Z56" s="13">
        <f>'P_L Workings'!Z152</f>
        <v>23750</v>
      </c>
      <c r="AA56" s="13">
        <f>'P_L Workings'!AA152</f>
        <v>23750</v>
      </c>
      <c r="AB56" s="13">
        <f>'P_L Workings'!AB152</f>
        <v>23750</v>
      </c>
      <c r="AC56" s="13">
        <f>'P_L Workings'!AC152</f>
        <v>23750</v>
      </c>
      <c r="AD56" s="13">
        <f>'P_L Workings'!AD152</f>
        <v>23750</v>
      </c>
      <c r="AE56" s="13">
        <f>'P_L Workings'!AE152</f>
        <v>23750</v>
      </c>
      <c r="AF56" s="13">
        <f>'P_L Workings'!AF152</f>
        <v>23750</v>
      </c>
      <c r="AG56" s="13">
        <f>'P_L Workings'!AG152</f>
        <v>23750</v>
      </c>
      <c r="AH56" s="13">
        <f>'P_L Workings'!AH152</f>
        <v>23750</v>
      </c>
      <c r="AI56" s="13">
        <f>'P_L Workings'!AI152</f>
        <v>23750</v>
      </c>
      <c r="AJ56" s="13">
        <f>'P_L Workings'!AJ152</f>
        <v>23750</v>
      </c>
      <c r="AK56" s="13">
        <f>'P_L Workings'!AK152</f>
        <v>23750</v>
      </c>
      <c r="AL56" s="13">
        <f>'P_L Workings'!AL152</f>
        <v>23750</v>
      </c>
      <c r="AM56" s="13">
        <f>'P_L Workings'!AM152</f>
        <v>23750</v>
      </c>
      <c r="AN56" s="13">
        <f>'P_L Workings'!AN152</f>
        <v>23750</v>
      </c>
      <c r="AO56" s="13">
        <f>'P_L Workings'!AO152</f>
        <v>23750</v>
      </c>
      <c r="AP56" s="13">
        <f>'P_L Workings'!AP152</f>
        <v>23750</v>
      </c>
      <c r="AQ56" s="13">
        <f>'P_L Workings'!AQ152</f>
        <v>23750</v>
      </c>
      <c r="AR56" s="13">
        <f>'P_L Workings'!AR152</f>
        <v>23750</v>
      </c>
      <c r="AS56" s="13">
        <f>'P_L Workings'!AS152</f>
        <v>23750</v>
      </c>
      <c r="AT56" s="13">
        <f>'P_L Workings'!AT152</f>
        <v>23750</v>
      </c>
      <c r="AU56" s="13">
        <f>'P_L Workings'!AU152</f>
        <v>23750</v>
      </c>
      <c r="AV56" s="13">
        <f>'P_L Workings'!AV152</f>
        <v>23750</v>
      </c>
      <c r="AW56" s="13">
        <f>'P_L Workings'!AW152</f>
        <v>23750</v>
      </c>
      <c r="AX56" s="13">
        <f>'P_L Workings'!AX152</f>
        <v>23750</v>
      </c>
      <c r="AY56" s="13">
        <f>'P_L Workings'!AY152</f>
        <v>23750</v>
      </c>
      <c r="AZ56" s="13">
        <f>'P_L Workings'!AZ152</f>
        <v>23750</v>
      </c>
      <c r="BA56" s="13">
        <f>'P_L Workings'!BA152</f>
        <v>23750</v>
      </c>
    </row>
    <row r="57" spans="1:53" ht="12.5" x14ac:dyDescent="0.25">
      <c r="B57" t="s">
        <v>45</v>
      </c>
      <c r="C57" s="13">
        <f>'P_L Workings'!C153</f>
        <v>0</v>
      </c>
      <c r="D57" s="13">
        <f>'P_L Workings'!D153</f>
        <v>0</v>
      </c>
      <c r="E57" s="13">
        <f>'P_L Workings'!E153</f>
        <v>0</v>
      </c>
      <c r="F57" s="13">
        <f>'P_L Workings'!F153</f>
        <v>3375</v>
      </c>
      <c r="G57" s="13">
        <f>'P_L Workings'!G153</f>
        <v>3375</v>
      </c>
      <c r="H57" s="13">
        <f>'P_L Workings'!H153</f>
        <v>3375</v>
      </c>
      <c r="I57" s="13">
        <f>'P_L Workings'!I153</f>
        <v>3375</v>
      </c>
      <c r="J57" s="13">
        <f>'P_L Workings'!J153</f>
        <v>3375</v>
      </c>
      <c r="K57" s="13">
        <f>'P_L Workings'!K153</f>
        <v>3375</v>
      </c>
      <c r="L57" s="13">
        <f>'P_L Workings'!L153</f>
        <v>3375</v>
      </c>
      <c r="M57" s="13">
        <f>'P_L Workings'!M153</f>
        <v>3375</v>
      </c>
      <c r="N57" s="13">
        <f>'P_L Workings'!N153</f>
        <v>3375</v>
      </c>
      <c r="O57" s="13">
        <f>'P_L Workings'!O153</f>
        <v>3375</v>
      </c>
      <c r="P57" s="13">
        <f>'P_L Workings'!P153</f>
        <v>3375</v>
      </c>
      <c r="Q57" s="13">
        <f>'P_L Workings'!Q153</f>
        <v>3375</v>
      </c>
      <c r="R57" s="13">
        <f>'P_L Workings'!R153</f>
        <v>3375</v>
      </c>
      <c r="S57" s="13">
        <f>'P_L Workings'!S153</f>
        <v>3375</v>
      </c>
      <c r="T57" s="13">
        <f>'P_L Workings'!T153</f>
        <v>3375</v>
      </c>
      <c r="U57" s="13">
        <f>'P_L Workings'!U153</f>
        <v>3375</v>
      </c>
      <c r="V57" s="13">
        <f>'P_L Workings'!V153</f>
        <v>3375</v>
      </c>
      <c r="W57" s="13">
        <f>'P_L Workings'!W153</f>
        <v>3375</v>
      </c>
      <c r="X57" s="13">
        <f>'P_L Workings'!X153</f>
        <v>3375</v>
      </c>
      <c r="Y57" s="13">
        <f>'P_L Workings'!Y153</f>
        <v>3375</v>
      </c>
      <c r="Z57" s="13">
        <f>'P_L Workings'!Z153</f>
        <v>3375</v>
      </c>
      <c r="AA57" s="13">
        <f>'P_L Workings'!AA153</f>
        <v>3375</v>
      </c>
      <c r="AB57" s="13">
        <f>'P_L Workings'!AB153</f>
        <v>3375</v>
      </c>
      <c r="AC57" s="13">
        <f>'P_L Workings'!AC153</f>
        <v>3375</v>
      </c>
      <c r="AD57" s="13">
        <f>'P_L Workings'!AD153</f>
        <v>3375</v>
      </c>
      <c r="AE57" s="13">
        <f>'P_L Workings'!AE153</f>
        <v>3375</v>
      </c>
      <c r="AF57" s="13">
        <f>'P_L Workings'!AF153</f>
        <v>3375</v>
      </c>
      <c r="AG57" s="13">
        <f>'P_L Workings'!AG153</f>
        <v>3375</v>
      </c>
      <c r="AH57" s="13">
        <f>'P_L Workings'!AH153</f>
        <v>3375</v>
      </c>
      <c r="AI57" s="13">
        <f>'P_L Workings'!AI153</f>
        <v>3375</v>
      </c>
      <c r="AJ57" s="13">
        <f>'P_L Workings'!AJ153</f>
        <v>3375</v>
      </c>
      <c r="AK57" s="13">
        <f>'P_L Workings'!AK153</f>
        <v>3375</v>
      </c>
      <c r="AL57" s="13">
        <f>'P_L Workings'!AL153</f>
        <v>3375</v>
      </c>
      <c r="AM57" s="13">
        <f>'P_L Workings'!AM153</f>
        <v>3375</v>
      </c>
      <c r="AN57" s="13">
        <f>'P_L Workings'!AN153</f>
        <v>3375</v>
      </c>
      <c r="AO57" s="13">
        <f>'P_L Workings'!AO153</f>
        <v>3375</v>
      </c>
      <c r="AP57" s="13">
        <f>'P_L Workings'!AP153</f>
        <v>3375</v>
      </c>
      <c r="AQ57" s="13">
        <f>'P_L Workings'!AQ153</f>
        <v>3375</v>
      </c>
      <c r="AR57" s="13">
        <f>'P_L Workings'!AR153</f>
        <v>3375</v>
      </c>
      <c r="AS57" s="13">
        <f>'P_L Workings'!AS153</f>
        <v>3375</v>
      </c>
      <c r="AT57" s="13">
        <f>'P_L Workings'!AT153</f>
        <v>3375</v>
      </c>
      <c r="AU57" s="13">
        <f>'P_L Workings'!AU153</f>
        <v>3375</v>
      </c>
      <c r="AV57" s="13">
        <f>'P_L Workings'!AV153</f>
        <v>3375</v>
      </c>
      <c r="AW57" s="13">
        <f>'P_L Workings'!AW153</f>
        <v>3375</v>
      </c>
      <c r="AX57" s="13">
        <f>'P_L Workings'!AX153</f>
        <v>3375</v>
      </c>
      <c r="AY57" s="13">
        <f>'P_L Workings'!AY153</f>
        <v>3375</v>
      </c>
      <c r="AZ57" s="13">
        <f>'P_L Workings'!AZ153</f>
        <v>3375</v>
      </c>
      <c r="BA57" s="13">
        <f>'P_L Workings'!BA153</f>
        <v>3375</v>
      </c>
    </row>
    <row r="58" spans="1:53" ht="12.5" x14ac:dyDescent="0.25">
      <c r="B58" t="s">
        <v>46</v>
      </c>
      <c r="C58" s="13">
        <f>'P_L Workings'!C154</f>
        <v>0</v>
      </c>
      <c r="D58" s="13">
        <f>'P_L Workings'!D154</f>
        <v>0</v>
      </c>
      <c r="E58" s="13">
        <f>'P_L Workings'!E154</f>
        <v>0</v>
      </c>
      <c r="F58" s="13">
        <f>'P_L Workings'!F154</f>
        <v>20833.333333333332</v>
      </c>
      <c r="G58" s="13">
        <f>'P_L Workings'!G154</f>
        <v>20833.333333333332</v>
      </c>
      <c r="H58" s="13">
        <f>'P_L Workings'!H154</f>
        <v>20833.333333333332</v>
      </c>
      <c r="I58" s="13">
        <f>'P_L Workings'!I154</f>
        <v>20833.333333333332</v>
      </c>
      <c r="J58" s="13">
        <f>'P_L Workings'!J154</f>
        <v>20833.333333333332</v>
      </c>
      <c r="K58" s="13">
        <f>'P_L Workings'!K154</f>
        <v>20833.333333333332</v>
      </c>
      <c r="L58" s="13">
        <f>'P_L Workings'!L154</f>
        <v>20833.333333333332</v>
      </c>
      <c r="M58" s="13">
        <f>'P_L Workings'!M154</f>
        <v>20833.333333333332</v>
      </c>
      <c r="N58" s="13">
        <f>'P_L Workings'!N154</f>
        <v>20833.333333333332</v>
      </c>
      <c r="O58" s="13">
        <f>'P_L Workings'!O154</f>
        <v>20833.333333333332</v>
      </c>
      <c r="P58" s="13">
        <f>'P_L Workings'!P154</f>
        <v>20833.333333333332</v>
      </c>
      <c r="Q58" s="13">
        <f>'P_L Workings'!Q154</f>
        <v>20833.333333333332</v>
      </c>
      <c r="R58" s="13">
        <f>'P_L Workings'!R154</f>
        <v>20833.333333333332</v>
      </c>
      <c r="S58" s="13">
        <f>'P_L Workings'!S154</f>
        <v>20833.333333333332</v>
      </c>
      <c r="T58" s="13">
        <f>'P_L Workings'!T154</f>
        <v>20833.333333333332</v>
      </c>
      <c r="U58" s="13">
        <f>'P_L Workings'!U154</f>
        <v>20833.333333333332</v>
      </c>
      <c r="V58" s="13">
        <f>'P_L Workings'!V154</f>
        <v>20833.333333333332</v>
      </c>
      <c r="W58" s="13">
        <f>'P_L Workings'!W154</f>
        <v>20833.333333333332</v>
      </c>
      <c r="X58" s="13">
        <f>'P_L Workings'!X154</f>
        <v>20833.333333333332</v>
      </c>
      <c r="Y58" s="13">
        <f>'P_L Workings'!Y154</f>
        <v>20833.333333333332</v>
      </c>
      <c r="Z58" s="13">
        <f>'P_L Workings'!Z154</f>
        <v>20833.333333333332</v>
      </c>
      <c r="AA58" s="13">
        <f>'P_L Workings'!AA154</f>
        <v>20833.333333333332</v>
      </c>
      <c r="AB58" s="13">
        <f>'P_L Workings'!AB154</f>
        <v>20833.333333333332</v>
      </c>
      <c r="AC58" s="13">
        <f>'P_L Workings'!AC154</f>
        <v>20833.333333333332</v>
      </c>
      <c r="AD58" s="13">
        <f>'P_L Workings'!AD154</f>
        <v>20833.333333333332</v>
      </c>
      <c r="AE58" s="13">
        <f>'P_L Workings'!AE154</f>
        <v>20833.333333333332</v>
      </c>
      <c r="AF58" s="13">
        <f>'P_L Workings'!AF154</f>
        <v>20833.333333333332</v>
      </c>
      <c r="AG58" s="13">
        <f>'P_L Workings'!AG154</f>
        <v>20833.333333333332</v>
      </c>
      <c r="AH58" s="13">
        <f>'P_L Workings'!AH154</f>
        <v>20833.333333333332</v>
      </c>
      <c r="AI58" s="13">
        <f>'P_L Workings'!AI154</f>
        <v>20833.333333333332</v>
      </c>
      <c r="AJ58" s="13">
        <f>'P_L Workings'!AJ154</f>
        <v>20833.333333333332</v>
      </c>
      <c r="AK58" s="13">
        <f>'P_L Workings'!AK154</f>
        <v>20833.333333333332</v>
      </c>
      <c r="AL58" s="13">
        <f>'P_L Workings'!AL154</f>
        <v>20833.333333333332</v>
      </c>
      <c r="AM58" s="13">
        <f>'P_L Workings'!AM154</f>
        <v>20833.333333333332</v>
      </c>
      <c r="AN58" s="13">
        <f>'P_L Workings'!AN154</f>
        <v>20833.333333333332</v>
      </c>
      <c r="AO58" s="13">
        <f>'P_L Workings'!AO154</f>
        <v>20833.333333333332</v>
      </c>
      <c r="AP58" s="13">
        <f>'P_L Workings'!AP154</f>
        <v>20833.333333333332</v>
      </c>
      <c r="AQ58" s="13">
        <f>'P_L Workings'!AQ154</f>
        <v>20833.333333333332</v>
      </c>
      <c r="AR58" s="13">
        <f>'P_L Workings'!AR154</f>
        <v>20833.333333333332</v>
      </c>
      <c r="AS58" s="13">
        <f>'P_L Workings'!AS154</f>
        <v>20833.333333333332</v>
      </c>
      <c r="AT58" s="13">
        <f>'P_L Workings'!AT154</f>
        <v>20833.333333333332</v>
      </c>
      <c r="AU58" s="13">
        <f>'P_L Workings'!AU154</f>
        <v>20833.333333333332</v>
      </c>
      <c r="AV58" s="13">
        <f>'P_L Workings'!AV154</f>
        <v>20833.333333333332</v>
      </c>
      <c r="AW58" s="13">
        <f>'P_L Workings'!AW154</f>
        <v>20833.333333333332</v>
      </c>
      <c r="AX58" s="13">
        <f>'P_L Workings'!AX154</f>
        <v>20833.333333333332</v>
      </c>
      <c r="AY58" s="13">
        <f>'P_L Workings'!AY154</f>
        <v>20833.333333333332</v>
      </c>
      <c r="AZ58" s="13">
        <f>'P_L Workings'!AZ154</f>
        <v>20833.333333333332</v>
      </c>
      <c r="BA58" s="13">
        <f>'P_L Workings'!BA154</f>
        <v>20833.333333333332</v>
      </c>
    </row>
    <row r="59" spans="1:53" ht="12.5" x14ac:dyDescent="0.25">
      <c r="B59" t="s">
        <v>47</v>
      </c>
      <c r="C59" s="13">
        <f>'P_L Workings'!C155</f>
        <v>0</v>
      </c>
      <c r="D59" s="13">
        <f>'P_L Workings'!D155</f>
        <v>0</v>
      </c>
      <c r="E59" s="13">
        <f>'P_L Workings'!E155</f>
        <v>2500</v>
      </c>
      <c r="F59" s="13">
        <f>'P_L Workings'!F155</f>
        <v>5062.5</v>
      </c>
      <c r="G59" s="13">
        <f>'P_L Workings'!G155</f>
        <v>5062.5</v>
      </c>
      <c r="H59" s="13">
        <f>'P_L Workings'!H155</f>
        <v>5062.5</v>
      </c>
      <c r="I59" s="13">
        <f>'P_L Workings'!I155</f>
        <v>5062.5</v>
      </c>
      <c r="J59" s="13">
        <f>'P_L Workings'!J155</f>
        <v>5062.5</v>
      </c>
      <c r="K59" s="13">
        <f>'P_L Workings'!K155</f>
        <v>5062.5</v>
      </c>
      <c r="L59" s="13">
        <f>'P_L Workings'!L155</f>
        <v>5062.5</v>
      </c>
      <c r="M59" s="13">
        <f>'P_L Workings'!M155</f>
        <v>5062.5</v>
      </c>
      <c r="N59" s="13">
        <f>'P_L Workings'!N155</f>
        <v>5062.5</v>
      </c>
      <c r="O59" s="13">
        <f>'P_L Workings'!O155</f>
        <v>5062.5</v>
      </c>
      <c r="P59" s="13">
        <f>'P_L Workings'!P155</f>
        <v>5062.5</v>
      </c>
      <c r="Q59" s="13">
        <f>'P_L Workings'!Q155</f>
        <v>5062.5</v>
      </c>
      <c r="R59" s="13">
        <f>'P_L Workings'!R155</f>
        <v>5062.5</v>
      </c>
      <c r="S59" s="13">
        <f>'P_L Workings'!S155</f>
        <v>5062.5</v>
      </c>
      <c r="T59" s="13">
        <f>'P_L Workings'!T155</f>
        <v>5062.5</v>
      </c>
      <c r="U59" s="13">
        <f>'P_L Workings'!U155</f>
        <v>5062.5</v>
      </c>
      <c r="V59" s="13">
        <f>'P_L Workings'!V155</f>
        <v>5062.5</v>
      </c>
      <c r="W59" s="13">
        <f>'P_L Workings'!W155</f>
        <v>5062.5</v>
      </c>
      <c r="X59" s="13">
        <f>'P_L Workings'!X155</f>
        <v>5062.5</v>
      </c>
      <c r="Y59" s="13">
        <f>'P_L Workings'!Y155</f>
        <v>5062.5</v>
      </c>
      <c r="Z59" s="13">
        <f>'P_L Workings'!Z155</f>
        <v>5062.5</v>
      </c>
      <c r="AA59" s="13">
        <f>'P_L Workings'!AA155</f>
        <v>5062.5</v>
      </c>
      <c r="AB59" s="13">
        <f>'P_L Workings'!AB155</f>
        <v>5062.5</v>
      </c>
      <c r="AC59" s="13">
        <f>'P_L Workings'!AC155</f>
        <v>5062.5</v>
      </c>
      <c r="AD59" s="13">
        <f>'P_L Workings'!AD155</f>
        <v>5062.5</v>
      </c>
      <c r="AE59" s="13">
        <f>'P_L Workings'!AE155</f>
        <v>5062.5</v>
      </c>
      <c r="AF59" s="13">
        <f>'P_L Workings'!AF155</f>
        <v>5062.5</v>
      </c>
      <c r="AG59" s="13">
        <f>'P_L Workings'!AG155</f>
        <v>5062.5</v>
      </c>
      <c r="AH59" s="13">
        <f>'P_L Workings'!AH155</f>
        <v>5062.5</v>
      </c>
      <c r="AI59" s="13">
        <f>'P_L Workings'!AI155</f>
        <v>5062.5</v>
      </c>
      <c r="AJ59" s="13">
        <f>'P_L Workings'!AJ155</f>
        <v>5062.5</v>
      </c>
      <c r="AK59" s="13">
        <f>'P_L Workings'!AK155</f>
        <v>5062.5</v>
      </c>
      <c r="AL59" s="13">
        <f>'P_L Workings'!AL155</f>
        <v>5062.5</v>
      </c>
      <c r="AM59" s="13">
        <f>'P_L Workings'!AM155</f>
        <v>5062.5</v>
      </c>
      <c r="AN59" s="13">
        <f>'P_L Workings'!AN155</f>
        <v>5062.5</v>
      </c>
      <c r="AO59" s="13">
        <f>'P_L Workings'!AO155</f>
        <v>5062.5</v>
      </c>
      <c r="AP59" s="13">
        <f>'P_L Workings'!AP155</f>
        <v>5062.5</v>
      </c>
      <c r="AQ59" s="13">
        <f>'P_L Workings'!AQ155</f>
        <v>5062.5</v>
      </c>
      <c r="AR59" s="13">
        <f>'P_L Workings'!AR155</f>
        <v>5062.5</v>
      </c>
      <c r="AS59" s="13">
        <f>'P_L Workings'!AS155</f>
        <v>5062.5</v>
      </c>
      <c r="AT59" s="13">
        <f>'P_L Workings'!AT155</f>
        <v>5062.5</v>
      </c>
      <c r="AU59" s="13">
        <f>'P_L Workings'!AU155</f>
        <v>5062.5</v>
      </c>
      <c r="AV59" s="13">
        <f>'P_L Workings'!AV155</f>
        <v>5062.5</v>
      </c>
      <c r="AW59" s="13">
        <f>'P_L Workings'!AW155</f>
        <v>5062.5</v>
      </c>
      <c r="AX59" s="13">
        <f>'P_L Workings'!AX155</f>
        <v>5062.5</v>
      </c>
      <c r="AY59" s="13">
        <f>'P_L Workings'!AY155</f>
        <v>5062.5</v>
      </c>
      <c r="AZ59" s="13">
        <f>'P_L Workings'!AZ155</f>
        <v>5062.5</v>
      </c>
      <c r="BA59" s="13">
        <f>'P_L Workings'!BA155</f>
        <v>5062.5</v>
      </c>
    </row>
    <row r="60" spans="1:53" ht="12.5" x14ac:dyDescent="0.25">
      <c r="B60" t="s">
        <v>48</v>
      </c>
      <c r="C60" s="13">
        <f>'P_L Workings'!C156</f>
        <v>0</v>
      </c>
      <c r="D60" s="13">
        <f>'P_L Workings'!D156</f>
        <v>0</v>
      </c>
      <c r="E60" s="13">
        <f>'P_L Workings'!E156</f>
        <v>1000</v>
      </c>
      <c r="F60" s="13">
        <f>'P_L Workings'!F156</f>
        <v>1125</v>
      </c>
      <c r="G60" s="13">
        <f>'P_L Workings'!G156</f>
        <v>1125</v>
      </c>
      <c r="H60" s="13">
        <f>'P_L Workings'!H156</f>
        <v>1125</v>
      </c>
      <c r="I60" s="13">
        <f>'P_L Workings'!I156</f>
        <v>1125</v>
      </c>
      <c r="J60" s="13">
        <f>'P_L Workings'!J156</f>
        <v>1125</v>
      </c>
      <c r="K60" s="13">
        <f>'P_L Workings'!K156</f>
        <v>1125</v>
      </c>
      <c r="L60" s="13">
        <f>'P_L Workings'!L156</f>
        <v>1125</v>
      </c>
      <c r="M60" s="13">
        <f>'P_L Workings'!M156</f>
        <v>1125</v>
      </c>
      <c r="N60" s="13">
        <f>'P_L Workings'!N156</f>
        <v>1125</v>
      </c>
      <c r="O60" s="13">
        <f>'P_L Workings'!O156</f>
        <v>1125</v>
      </c>
      <c r="P60" s="13">
        <f>'P_L Workings'!P156</f>
        <v>1125</v>
      </c>
      <c r="Q60" s="13">
        <f>'P_L Workings'!Q156</f>
        <v>1125</v>
      </c>
      <c r="R60" s="13">
        <f>'P_L Workings'!R156</f>
        <v>1125</v>
      </c>
      <c r="S60" s="13">
        <f>'P_L Workings'!S156</f>
        <v>1125</v>
      </c>
      <c r="T60" s="13">
        <f>'P_L Workings'!T156</f>
        <v>1125</v>
      </c>
      <c r="U60" s="13">
        <f>'P_L Workings'!U156</f>
        <v>1125</v>
      </c>
      <c r="V60" s="13">
        <f>'P_L Workings'!V156</f>
        <v>1125</v>
      </c>
      <c r="W60" s="13">
        <f>'P_L Workings'!W156</f>
        <v>1125</v>
      </c>
      <c r="X60" s="13">
        <f>'P_L Workings'!X156</f>
        <v>1125</v>
      </c>
      <c r="Y60" s="13">
        <f>'P_L Workings'!Y156</f>
        <v>1125</v>
      </c>
      <c r="Z60" s="13">
        <f>'P_L Workings'!Z156</f>
        <v>1125</v>
      </c>
      <c r="AA60" s="13">
        <f>'P_L Workings'!AA156</f>
        <v>1125</v>
      </c>
      <c r="AB60" s="13">
        <f>'P_L Workings'!AB156</f>
        <v>1125</v>
      </c>
      <c r="AC60" s="13">
        <f>'P_L Workings'!AC156</f>
        <v>1125</v>
      </c>
      <c r="AD60" s="13">
        <f>'P_L Workings'!AD156</f>
        <v>1125</v>
      </c>
      <c r="AE60" s="13">
        <f>'P_L Workings'!AE156</f>
        <v>1125</v>
      </c>
      <c r="AF60" s="13">
        <f>'P_L Workings'!AF156</f>
        <v>1125</v>
      </c>
      <c r="AG60" s="13">
        <f>'P_L Workings'!AG156</f>
        <v>1125</v>
      </c>
      <c r="AH60" s="13">
        <f>'P_L Workings'!AH156</f>
        <v>1125</v>
      </c>
      <c r="AI60" s="13">
        <f>'P_L Workings'!AI156</f>
        <v>1125</v>
      </c>
      <c r="AJ60" s="13">
        <f>'P_L Workings'!AJ156</f>
        <v>1125</v>
      </c>
      <c r="AK60" s="13">
        <f>'P_L Workings'!AK156</f>
        <v>1125</v>
      </c>
      <c r="AL60" s="13">
        <f>'P_L Workings'!AL156</f>
        <v>1125</v>
      </c>
      <c r="AM60" s="13">
        <f>'P_L Workings'!AM156</f>
        <v>1125</v>
      </c>
      <c r="AN60" s="13">
        <f>'P_L Workings'!AN156</f>
        <v>1125</v>
      </c>
      <c r="AO60" s="13">
        <f>'P_L Workings'!AO156</f>
        <v>1125</v>
      </c>
      <c r="AP60" s="13">
        <f>'P_L Workings'!AP156</f>
        <v>1125</v>
      </c>
      <c r="AQ60" s="13">
        <f>'P_L Workings'!AQ156</f>
        <v>1125</v>
      </c>
      <c r="AR60" s="13">
        <f>'P_L Workings'!AR156</f>
        <v>1125</v>
      </c>
      <c r="AS60" s="13">
        <f>'P_L Workings'!AS156</f>
        <v>1125</v>
      </c>
      <c r="AT60" s="13">
        <f>'P_L Workings'!AT156</f>
        <v>1125</v>
      </c>
      <c r="AU60" s="13">
        <f>'P_L Workings'!AU156</f>
        <v>1125</v>
      </c>
      <c r="AV60" s="13">
        <f>'P_L Workings'!AV156</f>
        <v>1125</v>
      </c>
      <c r="AW60" s="13">
        <f>'P_L Workings'!AW156</f>
        <v>1125</v>
      </c>
      <c r="AX60" s="13">
        <f>'P_L Workings'!AX156</f>
        <v>1125</v>
      </c>
      <c r="AY60" s="13">
        <f>'P_L Workings'!AY156</f>
        <v>1125</v>
      </c>
      <c r="AZ60" s="13">
        <f>'P_L Workings'!AZ156</f>
        <v>1125</v>
      </c>
      <c r="BA60" s="13">
        <f>'P_L Workings'!BA156</f>
        <v>1125</v>
      </c>
    </row>
    <row r="61" spans="1:53" ht="14" x14ac:dyDescent="0.3">
      <c r="B61" s="19" t="s">
        <v>3</v>
      </c>
      <c r="C61" s="15">
        <f t="shared" ref="C61:AH61" si="6">SUM(C56:C60)</f>
        <v>0</v>
      </c>
      <c r="D61" s="15">
        <f t="shared" si="6"/>
        <v>0</v>
      </c>
      <c r="E61" s="15">
        <f t="shared" si="6"/>
        <v>27250</v>
      </c>
      <c r="F61" s="15">
        <f t="shared" si="6"/>
        <v>54145.833333333328</v>
      </c>
      <c r="G61" s="15">
        <f t="shared" si="6"/>
        <v>54145.833333333328</v>
      </c>
      <c r="H61" s="15">
        <f t="shared" si="6"/>
        <v>54145.833333333328</v>
      </c>
      <c r="I61" s="15">
        <f t="shared" si="6"/>
        <v>54145.833333333328</v>
      </c>
      <c r="J61" s="15">
        <f t="shared" si="6"/>
        <v>54145.833333333328</v>
      </c>
      <c r="K61" s="15">
        <f t="shared" si="6"/>
        <v>54145.833333333328</v>
      </c>
      <c r="L61" s="15">
        <f t="shared" si="6"/>
        <v>54145.833333333328</v>
      </c>
      <c r="M61" s="15">
        <f t="shared" si="6"/>
        <v>54145.833333333328</v>
      </c>
      <c r="N61" s="15">
        <f t="shared" si="6"/>
        <v>54145.833333333328</v>
      </c>
      <c r="O61" s="15">
        <f t="shared" si="6"/>
        <v>54145.833333333328</v>
      </c>
      <c r="P61" s="15">
        <f t="shared" si="6"/>
        <v>54145.833333333328</v>
      </c>
      <c r="Q61" s="15">
        <f t="shared" si="6"/>
        <v>54145.833333333328</v>
      </c>
      <c r="R61" s="15">
        <f t="shared" si="6"/>
        <v>54145.833333333328</v>
      </c>
      <c r="S61" s="15">
        <f t="shared" si="6"/>
        <v>54145.833333333328</v>
      </c>
      <c r="T61" s="15">
        <f t="shared" si="6"/>
        <v>54145.833333333328</v>
      </c>
      <c r="U61" s="15">
        <f t="shared" si="6"/>
        <v>54145.833333333328</v>
      </c>
      <c r="V61" s="15">
        <f t="shared" si="6"/>
        <v>54145.833333333328</v>
      </c>
      <c r="W61" s="15">
        <f t="shared" si="6"/>
        <v>54145.833333333328</v>
      </c>
      <c r="X61" s="15">
        <f t="shared" si="6"/>
        <v>54145.833333333328</v>
      </c>
      <c r="Y61" s="15">
        <f t="shared" si="6"/>
        <v>54145.833333333328</v>
      </c>
      <c r="Z61" s="15">
        <f t="shared" si="6"/>
        <v>54145.833333333328</v>
      </c>
      <c r="AA61" s="15">
        <f t="shared" si="6"/>
        <v>54145.833333333328</v>
      </c>
      <c r="AB61" s="15">
        <f t="shared" si="6"/>
        <v>54145.833333333328</v>
      </c>
      <c r="AC61" s="15">
        <f t="shared" si="6"/>
        <v>54145.833333333328</v>
      </c>
      <c r="AD61" s="15">
        <f t="shared" si="6"/>
        <v>54145.833333333328</v>
      </c>
      <c r="AE61" s="15">
        <f t="shared" si="6"/>
        <v>54145.833333333328</v>
      </c>
      <c r="AF61" s="15">
        <f t="shared" si="6"/>
        <v>54145.833333333328</v>
      </c>
      <c r="AG61" s="15">
        <f t="shared" si="6"/>
        <v>54145.833333333328</v>
      </c>
      <c r="AH61" s="15">
        <f t="shared" si="6"/>
        <v>54145.833333333328</v>
      </c>
      <c r="AI61" s="15">
        <f t="shared" ref="AI61:BA61" si="7">SUM(AI56:AI60)</f>
        <v>54145.833333333328</v>
      </c>
      <c r="AJ61" s="15">
        <f t="shared" si="7"/>
        <v>54145.833333333328</v>
      </c>
      <c r="AK61" s="15">
        <f t="shared" si="7"/>
        <v>54145.833333333328</v>
      </c>
      <c r="AL61" s="15">
        <f t="shared" si="7"/>
        <v>54145.833333333328</v>
      </c>
      <c r="AM61" s="15">
        <f t="shared" si="7"/>
        <v>54145.833333333328</v>
      </c>
      <c r="AN61" s="15">
        <f t="shared" si="7"/>
        <v>54145.833333333328</v>
      </c>
      <c r="AO61" s="15">
        <f t="shared" si="7"/>
        <v>54145.833333333328</v>
      </c>
      <c r="AP61" s="15">
        <f t="shared" si="7"/>
        <v>54145.833333333328</v>
      </c>
      <c r="AQ61" s="15">
        <f t="shared" si="7"/>
        <v>54145.833333333328</v>
      </c>
      <c r="AR61" s="15">
        <f t="shared" si="7"/>
        <v>54145.833333333328</v>
      </c>
      <c r="AS61" s="15">
        <f t="shared" si="7"/>
        <v>54145.833333333328</v>
      </c>
      <c r="AT61" s="15">
        <f t="shared" si="7"/>
        <v>54145.833333333328</v>
      </c>
      <c r="AU61" s="15">
        <f t="shared" si="7"/>
        <v>54145.833333333328</v>
      </c>
      <c r="AV61" s="15">
        <f t="shared" si="7"/>
        <v>54145.833333333328</v>
      </c>
      <c r="AW61" s="15">
        <f t="shared" si="7"/>
        <v>54145.833333333328</v>
      </c>
      <c r="AX61" s="15">
        <f t="shared" si="7"/>
        <v>54145.833333333328</v>
      </c>
      <c r="AY61" s="15">
        <f t="shared" si="7"/>
        <v>54145.833333333328</v>
      </c>
      <c r="AZ61" s="15">
        <f t="shared" si="7"/>
        <v>54145.833333333328</v>
      </c>
      <c r="BA61" s="15">
        <f t="shared" si="7"/>
        <v>54145.833333333328</v>
      </c>
    </row>
    <row r="62" spans="1:53" ht="6" customHeight="1" x14ac:dyDescent="0.25"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</row>
    <row r="63" spans="1:53" ht="15.5" x14ac:dyDescent="0.35">
      <c r="A63" s="17" t="s">
        <v>49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</row>
    <row r="64" spans="1:53" x14ac:dyDescent="0.3">
      <c r="B64" t="s">
        <v>49</v>
      </c>
      <c r="C64" s="18">
        <f>'P_L Workings'!C163</f>
        <v>0</v>
      </c>
      <c r="D64" s="18">
        <f>'P_L Workings'!D163</f>
        <v>0</v>
      </c>
      <c r="E64" s="18">
        <f>'P_L Workings'!E163</f>
        <v>16000</v>
      </c>
      <c r="F64" s="18">
        <f>'P_L Workings'!F163</f>
        <v>66285.71428571429</v>
      </c>
      <c r="G64" s="18">
        <f>'P_L Workings'!G163</f>
        <v>70857.142857142855</v>
      </c>
      <c r="H64" s="18">
        <f>'P_L Workings'!H163</f>
        <v>68571.42857142858</v>
      </c>
      <c r="I64" s="18">
        <f>'P_L Workings'!I163</f>
        <v>70857.142857142855</v>
      </c>
      <c r="J64" s="18">
        <f>'P_L Workings'!J163</f>
        <v>70857.142857142855</v>
      </c>
      <c r="K64" s="18">
        <f>'P_L Workings'!K163</f>
        <v>68571.42857142858</v>
      </c>
      <c r="L64" s="18">
        <f>'P_L Workings'!L163</f>
        <v>70857.142857142855</v>
      </c>
      <c r="M64" s="18">
        <f>'P_L Workings'!M163</f>
        <v>66285.71428571429</v>
      </c>
      <c r="N64" s="18">
        <f>'P_L Workings'!N163</f>
        <v>70857.142857142855</v>
      </c>
      <c r="O64" s="18">
        <f>'P_L Workings'!O163</f>
        <v>43428.571428571428</v>
      </c>
      <c r="P64" s="18">
        <f>'P_L Workings'!P163</f>
        <v>61714.285714285717</v>
      </c>
      <c r="Q64" s="18">
        <f>'P_L Workings'!Q163</f>
        <v>70857.142857142855</v>
      </c>
      <c r="R64" s="18">
        <f>'P_L Workings'!R163</f>
        <v>66285.71428571429</v>
      </c>
      <c r="S64" s="18">
        <f>'P_L Workings'!S163</f>
        <v>70857.142857142855</v>
      </c>
      <c r="T64" s="18">
        <f>'P_L Workings'!T163</f>
        <v>68571.42857142858</v>
      </c>
      <c r="U64" s="18">
        <f>'P_L Workings'!U163</f>
        <v>70857.142857142855</v>
      </c>
      <c r="V64" s="18">
        <f>'P_L Workings'!V163</f>
        <v>70857.142857142855</v>
      </c>
      <c r="W64" s="18">
        <f>'P_L Workings'!W163</f>
        <v>68571.42857142858</v>
      </c>
      <c r="X64" s="18">
        <f>'P_L Workings'!X163</f>
        <v>70857.142857142855</v>
      </c>
      <c r="Y64" s="18">
        <f>'P_L Workings'!Y163</f>
        <v>66285.71428571429</v>
      </c>
      <c r="Z64" s="18">
        <f>'P_L Workings'!Z163</f>
        <v>70857.142857142855</v>
      </c>
      <c r="AA64" s="18">
        <f>'P_L Workings'!AA163</f>
        <v>41142.857142857145</v>
      </c>
      <c r="AB64" s="18">
        <f>'P_L Workings'!AB163</f>
        <v>64000</v>
      </c>
      <c r="AC64" s="18">
        <f>'P_L Workings'!AC163</f>
        <v>70857.142857142855</v>
      </c>
      <c r="AD64" s="18">
        <f>'P_L Workings'!AD163</f>
        <v>66285.71428571429</v>
      </c>
      <c r="AE64" s="18">
        <f>'P_L Workings'!AE163</f>
        <v>70857.142857142855</v>
      </c>
      <c r="AF64" s="18">
        <f>'P_L Workings'!AF163</f>
        <v>68571.42857142858</v>
      </c>
      <c r="AG64" s="18">
        <f>'P_L Workings'!AG163</f>
        <v>70857.142857142855</v>
      </c>
      <c r="AH64" s="18">
        <f>'P_L Workings'!AH163</f>
        <v>70857.142857142855</v>
      </c>
      <c r="AI64" s="18">
        <f>'P_L Workings'!AI163</f>
        <v>68571.42857142858</v>
      </c>
      <c r="AJ64" s="18">
        <f>'P_L Workings'!AJ163</f>
        <v>70857.142857142855</v>
      </c>
      <c r="AK64" s="18">
        <f>'P_L Workings'!AK163</f>
        <v>66285.71428571429</v>
      </c>
      <c r="AL64" s="18">
        <f>'P_L Workings'!AL163</f>
        <v>70857.142857142855</v>
      </c>
      <c r="AM64" s="18">
        <f>'P_L Workings'!AM163</f>
        <v>43428.571428571428</v>
      </c>
      <c r="AN64" s="18">
        <f>'P_L Workings'!AN163</f>
        <v>61714.285714285717</v>
      </c>
      <c r="AO64" s="18">
        <f>'P_L Workings'!AO163</f>
        <v>70857.142857142855</v>
      </c>
      <c r="AP64" s="18">
        <f>'P_L Workings'!AP163</f>
        <v>66285.71428571429</v>
      </c>
      <c r="AQ64" s="18">
        <f>'P_L Workings'!AQ163</f>
        <v>70857.142857142855</v>
      </c>
      <c r="AR64" s="18">
        <f>'P_L Workings'!AR163</f>
        <v>68571.42857142858</v>
      </c>
      <c r="AS64" s="18">
        <f>'P_L Workings'!AS163</f>
        <v>70857.142857142855</v>
      </c>
      <c r="AT64" s="18">
        <f>'P_L Workings'!AT163</f>
        <v>70857.142857142855</v>
      </c>
      <c r="AU64" s="18">
        <f>'P_L Workings'!AU163</f>
        <v>68571.42857142858</v>
      </c>
      <c r="AV64" s="18">
        <f>'P_L Workings'!AV163</f>
        <v>70857.142857142855</v>
      </c>
      <c r="AW64" s="18">
        <f>'P_L Workings'!AW163</f>
        <v>66285.71428571429</v>
      </c>
      <c r="AX64" s="18">
        <f>'P_L Workings'!AX163</f>
        <v>70857.142857142855</v>
      </c>
      <c r="AY64" s="18">
        <f>'P_L Workings'!AY163</f>
        <v>43428.571428571428</v>
      </c>
      <c r="AZ64" s="18">
        <f>'P_L Workings'!AZ163</f>
        <v>61714.285714285717</v>
      </c>
      <c r="BA64" s="18">
        <f>'P_L Workings'!BA163</f>
        <v>70857.142857142855</v>
      </c>
    </row>
    <row r="65" spans="1:53" ht="14" hidden="1" x14ac:dyDescent="0.3">
      <c r="B65" s="19" t="s">
        <v>3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</row>
    <row r="66" spans="1:53" ht="6" customHeight="1" x14ac:dyDescent="0.25"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</row>
    <row r="67" spans="1:53" ht="15.5" x14ac:dyDescent="0.35">
      <c r="A67" s="17" t="s">
        <v>50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</row>
    <row r="68" spans="1:53" ht="14.25" customHeight="1" x14ac:dyDescent="0.35">
      <c r="A68" s="17"/>
      <c r="B68" t="s">
        <v>51</v>
      </c>
      <c r="C68" s="13">
        <f>'P_L Workings'!C166</f>
        <v>0</v>
      </c>
      <c r="D68" s="13">
        <f>'P_L Workings'!D166</f>
        <v>0</v>
      </c>
      <c r="E68" s="13">
        <f>'P_L Workings'!E166</f>
        <v>0</v>
      </c>
      <c r="F68" s="13">
        <f>'P_L Workings'!F166</f>
        <v>333.33333333333331</v>
      </c>
      <c r="G68" s="13">
        <f>'P_L Workings'!G166</f>
        <v>327.77777777777783</v>
      </c>
      <c r="H68" s="13">
        <f>'P_L Workings'!H166</f>
        <v>322.31481481481484</v>
      </c>
      <c r="I68" s="13">
        <f>'P_L Workings'!I166</f>
        <v>316.94290123456796</v>
      </c>
      <c r="J68" s="13">
        <f>'P_L Workings'!J166</f>
        <v>311.66051954732512</v>
      </c>
      <c r="K68" s="13">
        <f>'P_L Workings'!K166</f>
        <v>306.46617755486977</v>
      </c>
      <c r="L68" s="13">
        <f>'P_L Workings'!L166</f>
        <v>301.35840792895527</v>
      </c>
      <c r="M68" s="13">
        <f>'P_L Workings'!M166</f>
        <v>296.33576779680601</v>
      </c>
      <c r="N68" s="13">
        <f>'P_L Workings'!N166</f>
        <v>291.39683833352592</v>
      </c>
      <c r="O68" s="13">
        <f>'P_L Workings'!O166</f>
        <v>286.54022436130049</v>
      </c>
      <c r="P68" s="13">
        <f>'P_L Workings'!P166</f>
        <v>281.76455395527881</v>
      </c>
      <c r="Q68" s="13">
        <f>'P_L Workings'!Q166</f>
        <v>277.06847805602416</v>
      </c>
      <c r="R68" s="13">
        <f>'P_L Workings'!R166</f>
        <v>272.45067008842381</v>
      </c>
      <c r="S68" s="13">
        <f>'P_L Workings'!S166</f>
        <v>267.90982558695003</v>
      </c>
      <c r="T68" s="13">
        <f>'P_L Workings'!T166</f>
        <v>263.44466182716752</v>
      </c>
      <c r="U68" s="13">
        <f>'P_L Workings'!U166</f>
        <v>259.05391746338142</v>
      </c>
      <c r="V68" s="13">
        <f>'P_L Workings'!V166</f>
        <v>254.73635217232507</v>
      </c>
      <c r="W68" s="13">
        <f>'P_L Workings'!W166</f>
        <v>250.49074630278633</v>
      </c>
      <c r="X68" s="13">
        <f>'P_L Workings'!X166</f>
        <v>246.31590053107323</v>
      </c>
      <c r="Y68" s="13">
        <f>'P_L Workings'!Y166</f>
        <v>242.21063552222199</v>
      </c>
      <c r="Z68" s="13">
        <f>'P_L Workings'!Z166</f>
        <v>238.17379159685163</v>
      </c>
      <c r="AA68" s="13">
        <f>'P_L Workings'!AA166</f>
        <v>234.20422840357074</v>
      </c>
      <c r="AB68" s="13">
        <f>'P_L Workings'!AB166</f>
        <v>230.30082459684459</v>
      </c>
      <c r="AC68" s="13">
        <f>'P_L Workings'!AC166</f>
        <v>226.46247752023052</v>
      </c>
      <c r="AD68" s="13">
        <f>'P_L Workings'!AD166</f>
        <v>222.68810289489332</v>
      </c>
      <c r="AE68" s="13">
        <f>'P_L Workings'!AE166</f>
        <v>218.97663451331178</v>
      </c>
      <c r="AF68" s="13">
        <f>'P_L Workings'!AF166</f>
        <v>215.32702393808992</v>
      </c>
      <c r="AG68" s="13">
        <f>'P_L Workings'!AG166</f>
        <v>211.73824020578843</v>
      </c>
      <c r="AH68" s="13">
        <f>'P_L Workings'!AH166</f>
        <v>208.20926953569196</v>
      </c>
      <c r="AI68" s="13">
        <f>'P_L Workings'!AI166</f>
        <v>204.73911504343042</v>
      </c>
      <c r="AJ68" s="13">
        <f>'P_L Workings'!AJ166</f>
        <v>201.32679645937324</v>
      </c>
      <c r="AK68" s="13">
        <f>'P_L Workings'!AK166</f>
        <v>197.97134985171704</v>
      </c>
      <c r="AL68" s="13">
        <f>'P_L Workings'!AL166</f>
        <v>194.67182735418839</v>
      </c>
      <c r="AM68" s="13">
        <f>'P_L Workings'!AM166</f>
        <v>191.42729689828528</v>
      </c>
      <c r="AN68" s="13">
        <f>'P_L Workings'!AN166</f>
        <v>188.23684194998052</v>
      </c>
      <c r="AO68" s="13">
        <f>'P_L Workings'!AO166</f>
        <v>185.09956125081419</v>
      </c>
      <c r="AP68" s="13">
        <f>'P_L Workings'!AP166</f>
        <v>182.0145685633006</v>
      </c>
      <c r="AQ68" s="13">
        <f>'P_L Workings'!AQ166</f>
        <v>178.98099242057893</v>
      </c>
      <c r="AR68" s="13">
        <f>'P_L Workings'!AR166</f>
        <v>175.997975880236</v>
      </c>
      <c r="AS68" s="13">
        <f>'P_L Workings'!AS166</f>
        <v>173.06467628223206</v>
      </c>
      <c r="AT68" s="13">
        <f>'P_L Workings'!AT166</f>
        <v>170.18026501086149</v>
      </c>
      <c r="AU68" s="13">
        <f>'P_L Workings'!AU166</f>
        <v>167.34392726068046</v>
      </c>
      <c r="AV68" s="13">
        <f>'P_L Workings'!AV166</f>
        <v>164.55486180633577</v>
      </c>
      <c r="AW68" s="13">
        <f>'P_L Workings'!AW166</f>
        <v>161.81228077623018</v>
      </c>
      <c r="AX68" s="13">
        <f>'P_L Workings'!AX166</f>
        <v>159.11540942995967</v>
      </c>
      <c r="AY68" s="13">
        <f>'P_L Workings'!AY166</f>
        <v>156.46348593946036</v>
      </c>
      <c r="AZ68" s="13">
        <f>'P_L Workings'!AZ166</f>
        <v>153.85576117380268</v>
      </c>
      <c r="BA68" s="13">
        <f>'P_L Workings'!BA166</f>
        <v>151.29149848757262</v>
      </c>
    </row>
    <row r="69" spans="1:53" ht="14.25" customHeight="1" x14ac:dyDescent="0.35">
      <c r="A69" s="17"/>
      <c r="B69" t="s">
        <v>52</v>
      </c>
      <c r="C69" s="13">
        <f>'P_L Workings'!C167</f>
        <v>0</v>
      </c>
      <c r="D69" s="13">
        <f>'P_L Workings'!D167</f>
        <v>0</v>
      </c>
      <c r="E69" s="13">
        <f>'P_L Workings'!E167</f>
        <v>0</v>
      </c>
      <c r="F69" s="13">
        <f>'P_L Workings'!F167</f>
        <v>23125.000000002099</v>
      </c>
      <c r="G69" s="13">
        <f>'P_L Workings'!G167</f>
        <v>15019.537614814139</v>
      </c>
      <c r="H69" s="13">
        <f>'P_L Workings'!H167</f>
        <v>14410.291089725277</v>
      </c>
      <c r="I69" s="13">
        <f>'P_L Workings'!I167</f>
        <v>13797.236773854611</v>
      </c>
      <c r="J69" s="13">
        <f>'P_L Workings'!J167</f>
        <v>13180.350868509762</v>
      </c>
      <c r="K69" s="13">
        <f>'P_L Workings'!K167</f>
        <v>12559.609426256502</v>
      </c>
      <c r="L69" s="13">
        <f>'P_L Workings'!L167</f>
        <v>11934.988349989164</v>
      </c>
      <c r="M69" s="13">
        <f>'P_L Workings'!M167</f>
        <v>11306.463391995154</v>
      </c>
      <c r="N69" s="13">
        <f>'P_L Workings'!N167</f>
        <v>10674.010153013682</v>
      </c>
      <c r="O69" s="13">
        <f>'P_L Workings'!O167</f>
        <v>10037.604081288579</v>
      </c>
      <c r="P69" s="13">
        <f>'P_L Workings'!P167</f>
        <v>9397.2204716151937</v>
      </c>
      <c r="Q69" s="13">
        <f>'P_L Workings'!Q167</f>
        <v>8752.8344643813507</v>
      </c>
      <c r="R69" s="13">
        <f>'P_L Workings'!R167</f>
        <v>8104.4210446022989</v>
      </c>
      <c r="S69" s="13">
        <f>'P_L Workings'!S167</f>
        <v>7451.9550409496278</v>
      </c>
      <c r="T69" s="13">
        <f>'P_L Workings'!T167</f>
        <v>6795.4111247741284</v>
      </c>
      <c r="U69" s="13">
        <f>'P_L Workings'!U167</f>
        <v>6134.7638091225335</v>
      </c>
      <c r="V69" s="13">
        <f>'P_L Workings'!V167</f>
        <v>5469.9874477481171</v>
      </c>
      <c r="W69" s="13">
        <f>'P_L Workings'!W167</f>
        <v>4801.0562341151117</v>
      </c>
      <c r="X69" s="13">
        <f>'P_L Workings'!X167</f>
        <v>4127.9442003969016</v>
      </c>
      <c r="Y69" s="13">
        <f>'P_L Workings'!Y167</f>
        <v>3450.625216467954</v>
      </c>
      <c r="Z69" s="13">
        <f>'P_L Workings'!Z167</f>
        <v>2769.0729888894521</v>
      </c>
      <c r="AA69" s="13">
        <f>'P_L Workings'!AA167</f>
        <v>2083.2610598885854</v>
      </c>
      <c r="AB69" s="13">
        <f>'P_L Workings'!AB167</f>
        <v>1393.1628063314643</v>
      </c>
      <c r="AC69" s="13">
        <f>'P_L Workings'!AC167</f>
        <v>698.7514386896122</v>
      </c>
      <c r="AD69" s="13">
        <f>'P_L Workings'!AD167</f>
        <v>0</v>
      </c>
      <c r="AE69" s="13">
        <f>'P_L Workings'!AE167</f>
        <v>0</v>
      </c>
      <c r="AF69" s="13">
        <f>'P_L Workings'!AF167</f>
        <v>0</v>
      </c>
      <c r="AG69" s="13">
        <f>'P_L Workings'!AG167</f>
        <v>0</v>
      </c>
      <c r="AH69" s="13">
        <f>'P_L Workings'!AH167</f>
        <v>0</v>
      </c>
      <c r="AI69" s="13">
        <f>'P_L Workings'!AI167</f>
        <v>0</v>
      </c>
      <c r="AJ69" s="13">
        <f>'P_L Workings'!AJ167</f>
        <v>0</v>
      </c>
      <c r="AK69" s="13">
        <f>'P_L Workings'!AK167</f>
        <v>0</v>
      </c>
      <c r="AL69" s="13">
        <f>'P_L Workings'!AL167</f>
        <v>0</v>
      </c>
      <c r="AM69" s="13">
        <f>'P_L Workings'!AM167</f>
        <v>0</v>
      </c>
      <c r="AN69" s="13">
        <f>'P_L Workings'!AN167</f>
        <v>0</v>
      </c>
      <c r="AO69" s="13">
        <f>'P_L Workings'!AO167</f>
        <v>0</v>
      </c>
      <c r="AP69" s="13">
        <f>'P_L Workings'!AP167</f>
        <v>0</v>
      </c>
      <c r="AQ69" s="13">
        <f>'P_L Workings'!AQ167</f>
        <v>0</v>
      </c>
      <c r="AR69" s="13">
        <f>'P_L Workings'!AR167</f>
        <v>0</v>
      </c>
      <c r="AS69" s="13">
        <f>'P_L Workings'!AS167</f>
        <v>0</v>
      </c>
      <c r="AT69" s="13">
        <f>'P_L Workings'!AT167</f>
        <v>0</v>
      </c>
      <c r="AU69" s="13">
        <f>'P_L Workings'!AU167</f>
        <v>0</v>
      </c>
      <c r="AV69" s="13">
        <f>'P_L Workings'!AV167</f>
        <v>0</v>
      </c>
      <c r="AW69" s="13">
        <f>'P_L Workings'!AW167</f>
        <v>0</v>
      </c>
      <c r="AX69" s="13">
        <f>'P_L Workings'!AX167</f>
        <v>0</v>
      </c>
      <c r="AY69" s="13">
        <f>'P_L Workings'!AY167</f>
        <v>0</v>
      </c>
      <c r="AZ69" s="13">
        <f>'P_L Workings'!AZ167</f>
        <v>0</v>
      </c>
      <c r="BA69" s="13">
        <f>'P_L Workings'!BA167</f>
        <v>0</v>
      </c>
    </row>
    <row r="70" spans="1:53" ht="12.5" x14ac:dyDescent="0.25">
      <c r="B70" t="s">
        <v>53</v>
      </c>
      <c r="C70" s="13">
        <f>'P_L Workings'!C168</f>
        <v>0</v>
      </c>
      <c r="D70" s="13">
        <f>'P_L Workings'!D168</f>
        <v>0</v>
      </c>
      <c r="E70" s="13">
        <f>'P_L Workings'!E168</f>
        <v>0</v>
      </c>
      <c r="F70" s="13">
        <f>'P_L Workings'!F168</f>
        <v>6250</v>
      </c>
      <c r="G70" s="13">
        <f>'P_L Workings'!G168</f>
        <v>6250</v>
      </c>
      <c r="H70" s="13">
        <f>'P_L Workings'!H168</f>
        <v>6250</v>
      </c>
      <c r="I70" s="13">
        <f>'P_L Workings'!I168</f>
        <v>6250</v>
      </c>
      <c r="J70" s="13">
        <f>'P_L Workings'!J168</f>
        <v>6250</v>
      </c>
      <c r="K70" s="13">
        <f>'P_L Workings'!K168</f>
        <v>6250</v>
      </c>
      <c r="L70" s="13">
        <f>'P_L Workings'!L168</f>
        <v>6250</v>
      </c>
      <c r="M70" s="13">
        <f>'P_L Workings'!M168</f>
        <v>6250</v>
      </c>
      <c r="N70" s="13">
        <f>'P_L Workings'!N168</f>
        <v>6250</v>
      </c>
      <c r="O70" s="13">
        <f>'P_L Workings'!O168</f>
        <v>6250</v>
      </c>
      <c r="P70" s="13">
        <f>'P_L Workings'!P168</f>
        <v>6250</v>
      </c>
      <c r="Q70" s="13">
        <f>'P_L Workings'!Q168</f>
        <v>6250</v>
      </c>
      <c r="R70" s="13">
        <f>'P_L Workings'!R168</f>
        <v>6250</v>
      </c>
      <c r="S70" s="13">
        <f>'P_L Workings'!S168</f>
        <v>6250</v>
      </c>
      <c r="T70" s="13">
        <f>'P_L Workings'!T168</f>
        <v>6250</v>
      </c>
      <c r="U70" s="13">
        <f>'P_L Workings'!U168</f>
        <v>6250</v>
      </c>
      <c r="V70" s="13">
        <f>'P_L Workings'!V168</f>
        <v>6250</v>
      </c>
      <c r="W70" s="13">
        <f>'P_L Workings'!W168</f>
        <v>6250</v>
      </c>
      <c r="X70" s="13">
        <f>'P_L Workings'!X168</f>
        <v>6250</v>
      </c>
      <c r="Y70" s="13">
        <f>'P_L Workings'!Y168</f>
        <v>6250</v>
      </c>
      <c r="Z70" s="13">
        <f>'P_L Workings'!Z168</f>
        <v>6250</v>
      </c>
      <c r="AA70" s="13">
        <f>'P_L Workings'!AA168</f>
        <v>6250</v>
      </c>
      <c r="AB70" s="13">
        <f>'P_L Workings'!AB168</f>
        <v>6250</v>
      </c>
      <c r="AC70" s="13">
        <f>'P_L Workings'!AC168</f>
        <v>6250</v>
      </c>
      <c r="AD70" s="13">
        <f>'P_L Workings'!AD168</f>
        <v>6250</v>
      </c>
      <c r="AE70" s="13">
        <f>'P_L Workings'!AE168</f>
        <v>6250</v>
      </c>
      <c r="AF70" s="13">
        <f>'P_L Workings'!AF168</f>
        <v>6250</v>
      </c>
      <c r="AG70" s="13">
        <f>'P_L Workings'!AG168</f>
        <v>6250</v>
      </c>
      <c r="AH70" s="13">
        <f>'P_L Workings'!AH168</f>
        <v>6250</v>
      </c>
      <c r="AI70" s="13">
        <f>'P_L Workings'!AI168</f>
        <v>6250</v>
      </c>
      <c r="AJ70" s="13">
        <f>'P_L Workings'!AJ168</f>
        <v>6250</v>
      </c>
      <c r="AK70" s="13">
        <f>'P_L Workings'!AK168</f>
        <v>6250</v>
      </c>
      <c r="AL70" s="13">
        <f>'P_L Workings'!AL168</f>
        <v>6250</v>
      </c>
      <c r="AM70" s="13">
        <f>'P_L Workings'!AM168</f>
        <v>6250</v>
      </c>
      <c r="AN70" s="13">
        <f>'P_L Workings'!AN168</f>
        <v>6250</v>
      </c>
      <c r="AO70" s="13">
        <f>'P_L Workings'!AO168</f>
        <v>6250</v>
      </c>
      <c r="AP70" s="13">
        <f>'P_L Workings'!AP168</f>
        <v>6250</v>
      </c>
      <c r="AQ70" s="13">
        <f>'P_L Workings'!AQ168</f>
        <v>6250</v>
      </c>
      <c r="AR70" s="13">
        <f>'P_L Workings'!AR168</f>
        <v>6250</v>
      </c>
      <c r="AS70" s="13">
        <f>'P_L Workings'!AS168</f>
        <v>6250</v>
      </c>
      <c r="AT70" s="13">
        <f>'P_L Workings'!AT168</f>
        <v>6250</v>
      </c>
      <c r="AU70" s="13">
        <f>'P_L Workings'!AU168</f>
        <v>6250</v>
      </c>
      <c r="AV70" s="13">
        <f>'P_L Workings'!AV168</f>
        <v>6250</v>
      </c>
      <c r="AW70" s="13">
        <f>'P_L Workings'!AW168</f>
        <v>6250</v>
      </c>
      <c r="AX70" s="13">
        <f>'P_L Workings'!AX168</f>
        <v>6250</v>
      </c>
      <c r="AY70" s="13">
        <f>'P_L Workings'!AY168</f>
        <v>6250</v>
      </c>
      <c r="AZ70" s="13">
        <f>'P_L Workings'!AZ168</f>
        <v>6250</v>
      </c>
      <c r="BA70" s="13">
        <f>'P_L Workings'!BA168</f>
        <v>6250</v>
      </c>
    </row>
    <row r="71" spans="1:53" ht="12.5" x14ac:dyDescent="0.25">
      <c r="B71" t="s">
        <v>54</v>
      </c>
      <c r="C71" s="13">
        <f>'P_L Workings'!C169</f>
        <v>0</v>
      </c>
      <c r="D71" s="13">
        <f>'P_L Workings'!D169</f>
        <v>0</v>
      </c>
      <c r="E71" s="13">
        <f>'P_L Workings'!E169</f>
        <v>0</v>
      </c>
      <c r="F71" s="13">
        <f>'P_L Workings'!F169</f>
        <v>0</v>
      </c>
      <c r="G71" s="13">
        <f>'P_L Workings'!G169</f>
        <v>0</v>
      </c>
      <c r="H71" s="13">
        <f>'P_L Workings'!H169</f>
        <v>0</v>
      </c>
      <c r="I71" s="13">
        <f>'P_L Workings'!I169</f>
        <v>0</v>
      </c>
      <c r="J71" s="13">
        <f>'P_L Workings'!J169</f>
        <v>0</v>
      </c>
      <c r="K71" s="13">
        <f>'P_L Workings'!K169</f>
        <v>0</v>
      </c>
      <c r="L71" s="13">
        <f>'P_L Workings'!L169</f>
        <v>0</v>
      </c>
      <c r="M71" s="13">
        <f>'P_L Workings'!M169</f>
        <v>0</v>
      </c>
      <c r="N71" s="13">
        <f>'P_L Workings'!N169</f>
        <v>0</v>
      </c>
      <c r="O71" s="13">
        <f>'P_L Workings'!O169</f>
        <v>0</v>
      </c>
      <c r="P71" s="13">
        <f>'P_L Workings'!P169</f>
        <v>0</v>
      </c>
      <c r="Q71" s="13">
        <f>'P_L Workings'!Q169</f>
        <v>0</v>
      </c>
      <c r="R71" s="13">
        <f>'P_L Workings'!R169</f>
        <v>0</v>
      </c>
      <c r="S71" s="13">
        <f>'P_L Workings'!S169</f>
        <v>0</v>
      </c>
      <c r="T71" s="13">
        <f>'P_L Workings'!T169</f>
        <v>0</v>
      </c>
      <c r="U71" s="13">
        <f>'P_L Workings'!U169</f>
        <v>0</v>
      </c>
      <c r="V71" s="13">
        <f>'P_L Workings'!V169</f>
        <v>0</v>
      </c>
      <c r="W71" s="13">
        <f>'P_L Workings'!W169</f>
        <v>0</v>
      </c>
      <c r="X71" s="13">
        <f>'P_L Workings'!X169</f>
        <v>0</v>
      </c>
      <c r="Y71" s="13">
        <f>'P_L Workings'!Y169</f>
        <v>0</v>
      </c>
      <c r="Z71" s="13">
        <f>'P_L Workings'!Z169</f>
        <v>0</v>
      </c>
      <c r="AA71" s="13">
        <f>'P_L Workings'!AA169</f>
        <v>0</v>
      </c>
      <c r="AB71" s="13">
        <f>'P_L Workings'!AB169</f>
        <v>0</v>
      </c>
      <c r="AC71" s="13">
        <f>'P_L Workings'!AC169</f>
        <v>0</v>
      </c>
      <c r="AD71" s="13">
        <f>'P_L Workings'!AD169</f>
        <v>0</v>
      </c>
      <c r="AE71" s="13">
        <f>'P_L Workings'!AE169</f>
        <v>0</v>
      </c>
      <c r="AF71" s="13">
        <f>'P_L Workings'!AF169</f>
        <v>0</v>
      </c>
      <c r="AG71" s="13">
        <f>'P_L Workings'!AG169</f>
        <v>0</v>
      </c>
      <c r="AH71" s="13">
        <f>'P_L Workings'!AH169</f>
        <v>0</v>
      </c>
      <c r="AI71" s="13">
        <f>'P_L Workings'!AI169</f>
        <v>0</v>
      </c>
      <c r="AJ71" s="13">
        <f>'P_L Workings'!AJ169</f>
        <v>0</v>
      </c>
      <c r="AK71" s="13">
        <f>'P_L Workings'!AK169</f>
        <v>0</v>
      </c>
      <c r="AL71" s="13">
        <f>'P_L Workings'!AL169</f>
        <v>0</v>
      </c>
      <c r="AM71" s="13">
        <f>'P_L Workings'!AM169</f>
        <v>0</v>
      </c>
      <c r="AN71" s="13">
        <f>'P_L Workings'!AN169</f>
        <v>0</v>
      </c>
      <c r="AO71" s="13">
        <f>'P_L Workings'!AO169</f>
        <v>0</v>
      </c>
      <c r="AP71" s="13">
        <f>'P_L Workings'!AP169</f>
        <v>0</v>
      </c>
      <c r="AQ71" s="13">
        <f>'P_L Workings'!AQ169</f>
        <v>0</v>
      </c>
      <c r="AR71" s="13">
        <f>'P_L Workings'!AR169</f>
        <v>0</v>
      </c>
      <c r="AS71" s="13">
        <f>'P_L Workings'!AS169</f>
        <v>0</v>
      </c>
      <c r="AT71" s="13">
        <f>'P_L Workings'!AT169</f>
        <v>0</v>
      </c>
      <c r="AU71" s="13">
        <f>'P_L Workings'!AU169</f>
        <v>0</v>
      </c>
      <c r="AV71" s="13">
        <f>'P_L Workings'!AV169</f>
        <v>0</v>
      </c>
      <c r="AW71" s="13">
        <f>'P_L Workings'!AW169</f>
        <v>0</v>
      </c>
      <c r="AX71" s="13">
        <f>'P_L Workings'!AX169</f>
        <v>0</v>
      </c>
      <c r="AY71" s="13">
        <f>'P_L Workings'!AY169</f>
        <v>0</v>
      </c>
      <c r="AZ71" s="13">
        <f>'P_L Workings'!AZ169</f>
        <v>0</v>
      </c>
      <c r="BA71" s="13">
        <f>'P_L Workings'!BA169</f>
        <v>0</v>
      </c>
    </row>
    <row r="72" spans="1:53" ht="14" x14ac:dyDescent="0.3">
      <c r="B72" s="19" t="s">
        <v>3</v>
      </c>
      <c r="C72" s="15">
        <f t="shared" ref="C72:AH72" si="8">SUM(C68:C71)</f>
        <v>0</v>
      </c>
      <c r="D72" s="15">
        <f t="shared" si="8"/>
        <v>0</v>
      </c>
      <c r="E72" s="15">
        <f t="shared" si="8"/>
        <v>0</v>
      </c>
      <c r="F72" s="15">
        <f t="shared" si="8"/>
        <v>29708.333333335431</v>
      </c>
      <c r="G72" s="15">
        <f t="shared" si="8"/>
        <v>21597.315392591918</v>
      </c>
      <c r="H72" s="15">
        <f t="shared" si="8"/>
        <v>20982.605904540091</v>
      </c>
      <c r="I72" s="15">
        <f t="shared" si="8"/>
        <v>20364.179675089181</v>
      </c>
      <c r="J72" s="15">
        <f t="shared" si="8"/>
        <v>19742.011388057086</v>
      </c>
      <c r="K72" s="15">
        <f t="shared" si="8"/>
        <v>19116.075603811372</v>
      </c>
      <c r="L72" s="15">
        <f t="shared" si="8"/>
        <v>18486.34675791812</v>
      </c>
      <c r="M72" s="15">
        <f t="shared" si="8"/>
        <v>17852.799159791961</v>
      </c>
      <c r="N72" s="15">
        <f t="shared" si="8"/>
        <v>17215.406991347209</v>
      </c>
      <c r="O72" s="15">
        <f t="shared" si="8"/>
        <v>16574.144305649879</v>
      </c>
      <c r="P72" s="15">
        <f t="shared" si="8"/>
        <v>15928.985025570473</v>
      </c>
      <c r="Q72" s="15">
        <f t="shared" si="8"/>
        <v>15279.902942437375</v>
      </c>
      <c r="R72" s="15">
        <f t="shared" si="8"/>
        <v>14626.871714690722</v>
      </c>
      <c r="S72" s="15">
        <f t="shared" si="8"/>
        <v>13969.864866536578</v>
      </c>
      <c r="T72" s="15">
        <f t="shared" si="8"/>
        <v>13308.855786601296</v>
      </c>
      <c r="U72" s="15">
        <f t="shared" si="8"/>
        <v>12643.817726585916</v>
      </c>
      <c r="V72" s="15">
        <f t="shared" si="8"/>
        <v>11974.723799920443</v>
      </c>
      <c r="W72" s="15">
        <f t="shared" si="8"/>
        <v>11301.546980417897</v>
      </c>
      <c r="X72" s="15">
        <f t="shared" si="8"/>
        <v>10624.260100927975</v>
      </c>
      <c r="Y72" s="15">
        <f t="shared" si="8"/>
        <v>9942.8358519901758</v>
      </c>
      <c r="Z72" s="15">
        <f t="shared" si="8"/>
        <v>9257.2467804863045</v>
      </c>
      <c r="AA72" s="15">
        <f t="shared" si="8"/>
        <v>8567.4652882921564</v>
      </c>
      <c r="AB72" s="15">
        <f t="shared" si="8"/>
        <v>7873.4636309283087</v>
      </c>
      <c r="AC72" s="15">
        <f t="shared" si="8"/>
        <v>7175.2139162098429</v>
      </c>
      <c r="AD72" s="15">
        <f t="shared" si="8"/>
        <v>6472.6881028948937</v>
      </c>
      <c r="AE72" s="15">
        <f t="shared" si="8"/>
        <v>6468.9766345133121</v>
      </c>
      <c r="AF72" s="15">
        <f t="shared" si="8"/>
        <v>6465.32702393809</v>
      </c>
      <c r="AG72" s="15">
        <f t="shared" si="8"/>
        <v>6461.7382402057883</v>
      </c>
      <c r="AH72" s="15">
        <f t="shared" si="8"/>
        <v>6458.2092695356923</v>
      </c>
      <c r="AI72" s="15">
        <f t="shared" ref="AI72:BA72" si="9">SUM(AI68:AI71)</f>
        <v>6454.7391150434305</v>
      </c>
      <c r="AJ72" s="15">
        <f t="shared" si="9"/>
        <v>6451.3267964593733</v>
      </c>
      <c r="AK72" s="15">
        <f t="shared" si="9"/>
        <v>6447.9713498517167</v>
      </c>
      <c r="AL72" s="15">
        <f t="shared" si="9"/>
        <v>6444.6718273541883</v>
      </c>
      <c r="AM72" s="15">
        <f t="shared" si="9"/>
        <v>6441.427296898285</v>
      </c>
      <c r="AN72" s="15">
        <f t="shared" si="9"/>
        <v>6438.2368419499808</v>
      </c>
      <c r="AO72" s="15">
        <f t="shared" si="9"/>
        <v>6435.0995612508141</v>
      </c>
      <c r="AP72" s="15">
        <f t="shared" si="9"/>
        <v>6432.0145685633006</v>
      </c>
      <c r="AQ72" s="15">
        <f t="shared" si="9"/>
        <v>6428.9809924205792</v>
      </c>
      <c r="AR72" s="15">
        <f t="shared" si="9"/>
        <v>6425.9979758802356</v>
      </c>
      <c r="AS72" s="15">
        <f t="shared" si="9"/>
        <v>6423.0646762822316</v>
      </c>
      <c r="AT72" s="15">
        <f t="shared" si="9"/>
        <v>6420.1802650108611</v>
      </c>
      <c r="AU72" s="15">
        <f t="shared" si="9"/>
        <v>6417.3439272606802</v>
      </c>
      <c r="AV72" s="15">
        <f t="shared" si="9"/>
        <v>6414.5548618063358</v>
      </c>
      <c r="AW72" s="15">
        <f t="shared" si="9"/>
        <v>6411.8122807762302</v>
      </c>
      <c r="AX72" s="15">
        <f t="shared" si="9"/>
        <v>6409.11540942996</v>
      </c>
      <c r="AY72" s="15">
        <f t="shared" si="9"/>
        <v>6406.46348593946</v>
      </c>
      <c r="AZ72" s="15">
        <f t="shared" si="9"/>
        <v>6403.8557611738024</v>
      </c>
      <c r="BA72" s="15">
        <f t="shared" si="9"/>
        <v>6401.2914984875724</v>
      </c>
    </row>
    <row r="73" spans="1:53" ht="12" customHeight="1" x14ac:dyDescent="0.25"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</row>
    <row r="74" spans="1:53" ht="15.5" x14ac:dyDescent="0.35">
      <c r="A74" s="4" t="s">
        <v>55</v>
      </c>
      <c r="C74" s="15">
        <f t="shared" ref="C74:AH74" si="10">C72+C64+C61+C53+C46+C29+C23</f>
        <v>0</v>
      </c>
      <c r="D74" s="15">
        <f t="shared" si="10"/>
        <v>0</v>
      </c>
      <c r="E74" s="15">
        <f t="shared" si="10"/>
        <v>940029.097948718</v>
      </c>
      <c r="F74" s="15">
        <f t="shared" si="10"/>
        <v>1436593.860000002</v>
      </c>
      <c r="G74" s="15">
        <f t="shared" si="10"/>
        <v>1483489.5220592583</v>
      </c>
      <c r="H74" s="15">
        <f t="shared" si="10"/>
        <v>1455371.4725712065</v>
      </c>
      <c r="I74" s="15">
        <f t="shared" si="10"/>
        <v>1482256.3863417557</v>
      </c>
      <c r="J74" s="15">
        <f t="shared" si="10"/>
        <v>1481634.2180547237</v>
      </c>
      <c r="K74" s="15">
        <f t="shared" si="10"/>
        <v>1453504.9422704778</v>
      </c>
      <c r="L74" s="15">
        <f t="shared" si="10"/>
        <v>1480378.5534245847</v>
      </c>
      <c r="M74" s="15">
        <f t="shared" si="10"/>
        <v>1424738.3258264586</v>
      </c>
      <c r="N74" s="15">
        <f t="shared" si="10"/>
        <v>1479107.6136580138</v>
      </c>
      <c r="O74" s="15">
        <f t="shared" si="10"/>
        <v>1148426.2709723166</v>
      </c>
      <c r="P74" s="15">
        <f t="shared" si="10"/>
        <v>1367807.8316922369</v>
      </c>
      <c r="Q74" s="15">
        <f t="shared" si="10"/>
        <v>1477172.109609104</v>
      </c>
      <c r="R74" s="15">
        <f t="shared" si="10"/>
        <v>1421512.3983813573</v>
      </c>
      <c r="S74" s="15">
        <f t="shared" si="10"/>
        <v>1475862.0715332031</v>
      </c>
      <c r="T74" s="15">
        <f t="shared" si="10"/>
        <v>1447697.7224532678</v>
      </c>
      <c r="U74" s="15">
        <f t="shared" si="10"/>
        <v>1474536.0243932523</v>
      </c>
      <c r="V74" s="15">
        <f t="shared" si="10"/>
        <v>1473866.930466587</v>
      </c>
      <c r="W74" s="15">
        <f t="shared" si="10"/>
        <v>1445690.4136470845</v>
      </c>
      <c r="X74" s="15">
        <f t="shared" si="10"/>
        <v>1472516.4667675945</v>
      </c>
      <c r="Y74" s="15">
        <f t="shared" si="10"/>
        <v>1416828.3625186568</v>
      </c>
      <c r="Z74" s="15">
        <f t="shared" si="10"/>
        <v>1471149.4534471529</v>
      </c>
      <c r="AA74" s="15">
        <f t="shared" si="10"/>
        <v>1112916.251954959</v>
      </c>
      <c r="AB74" s="15">
        <f t="shared" si="10"/>
        <v>1387255.6502975952</v>
      </c>
      <c r="AC74" s="15">
        <f t="shared" si="10"/>
        <v>1469067.4205828763</v>
      </c>
      <c r="AD74" s="15">
        <f t="shared" si="10"/>
        <v>1413358.2147695615</v>
      </c>
      <c r="AE74" s="15">
        <f t="shared" si="10"/>
        <v>1468361.1833011799</v>
      </c>
      <c r="AF74" s="15">
        <f t="shared" si="10"/>
        <v>1440854.1936906045</v>
      </c>
      <c r="AG74" s="15">
        <f t="shared" si="10"/>
        <v>1468353.9449068722</v>
      </c>
      <c r="AH74" s="15">
        <f t="shared" si="10"/>
        <v>1468350.4159362023</v>
      </c>
      <c r="AI74" s="15">
        <f t="shared" ref="AI74:BA74" si="11">AI72+AI64+AI61+AI53+AI46+AI29+AI23</f>
        <v>1440843.6057817098</v>
      </c>
      <c r="AJ74" s="15">
        <f t="shared" si="11"/>
        <v>1468343.5334631258</v>
      </c>
      <c r="AK74" s="15">
        <f t="shared" si="11"/>
        <v>1413333.4980165183</v>
      </c>
      <c r="AL74" s="15">
        <f t="shared" si="11"/>
        <v>1468336.8784940208</v>
      </c>
      <c r="AM74" s="15">
        <f t="shared" si="11"/>
        <v>1138293.553963565</v>
      </c>
      <c r="AN74" s="15">
        <f t="shared" si="11"/>
        <v>1358317.0835086165</v>
      </c>
      <c r="AO74" s="15">
        <f t="shared" si="11"/>
        <v>1468327.3062279173</v>
      </c>
      <c r="AP74" s="15">
        <f t="shared" si="11"/>
        <v>1413317.5412352299</v>
      </c>
      <c r="AQ74" s="15">
        <f t="shared" si="11"/>
        <v>1468321.1876590871</v>
      </c>
      <c r="AR74" s="15">
        <f t="shared" si="11"/>
        <v>1440814.8646425467</v>
      </c>
      <c r="AS74" s="15">
        <f t="shared" si="11"/>
        <v>1468315.2713429488</v>
      </c>
      <c r="AT74" s="15">
        <f t="shared" si="11"/>
        <v>1468312.3869316773</v>
      </c>
      <c r="AU74" s="15">
        <f t="shared" si="11"/>
        <v>1440806.2105939272</v>
      </c>
      <c r="AV74" s="15">
        <f t="shared" si="11"/>
        <v>1468306.7615284729</v>
      </c>
      <c r="AW74" s="15">
        <f t="shared" si="11"/>
        <v>1413297.3389474428</v>
      </c>
      <c r="AX74" s="15">
        <f t="shared" si="11"/>
        <v>1468301.3220760964</v>
      </c>
      <c r="AY74" s="15">
        <f t="shared" si="11"/>
        <v>1138258.5901526064</v>
      </c>
      <c r="AZ74" s="15">
        <f t="shared" si="11"/>
        <v>1358282.7024278403</v>
      </c>
      <c r="BA74" s="15">
        <f t="shared" si="11"/>
        <v>1468293.4981651541</v>
      </c>
    </row>
    <row r="75" spans="1:53" ht="12.5" x14ac:dyDescent="0.25"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</row>
    <row r="76" spans="1:53" ht="15.5" x14ac:dyDescent="0.35">
      <c r="A76" s="4" t="s">
        <v>56</v>
      </c>
      <c r="C76" s="16">
        <f t="shared" ref="C76:AH76" si="12">C18-C74</f>
        <v>0</v>
      </c>
      <c r="D76" s="16">
        <f t="shared" si="12"/>
        <v>0</v>
      </c>
      <c r="E76" s="16">
        <f t="shared" si="12"/>
        <v>-608719.097948718</v>
      </c>
      <c r="F76" s="16">
        <f t="shared" si="12"/>
        <v>-16905.530000001891</v>
      </c>
      <c r="G76" s="16">
        <f t="shared" si="12"/>
        <v>34108.347940741805</v>
      </c>
      <c r="H76" s="16">
        <f t="shared" si="12"/>
        <v>113123.77742879349</v>
      </c>
      <c r="I76" s="16">
        <f t="shared" si="12"/>
        <v>227089.0386582443</v>
      </c>
      <c r="J76" s="16">
        <f t="shared" si="12"/>
        <v>227711.20694527635</v>
      </c>
      <c r="K76" s="16">
        <f t="shared" si="12"/>
        <v>15138.157729522325</v>
      </c>
      <c r="L76" s="16">
        <f t="shared" si="12"/>
        <v>37219.316575415432</v>
      </c>
      <c r="M76" s="16">
        <f t="shared" si="12"/>
        <v>-5049.9958264585584</v>
      </c>
      <c r="N76" s="16">
        <f t="shared" si="12"/>
        <v>70905.778341986006</v>
      </c>
      <c r="O76" s="16">
        <f t="shared" si="12"/>
        <v>-218285.64097231661</v>
      </c>
      <c r="P76" s="16">
        <f t="shared" si="12"/>
        <v>-46029.041692236904</v>
      </c>
      <c r="Q76" s="16">
        <f t="shared" si="12"/>
        <v>40425.760390896117</v>
      </c>
      <c r="R76" s="16">
        <f t="shared" si="12"/>
        <v>83310.071618642891</v>
      </c>
      <c r="S76" s="16">
        <f t="shared" si="12"/>
        <v>132741.25846679695</v>
      </c>
      <c r="T76" s="16">
        <f t="shared" si="12"/>
        <v>219581.07754673227</v>
      </c>
      <c r="U76" s="16">
        <f t="shared" si="12"/>
        <v>354599.13560674782</v>
      </c>
      <c r="V76" s="16">
        <f t="shared" si="12"/>
        <v>355268.22953341319</v>
      </c>
      <c r="W76" s="16">
        <f t="shared" si="12"/>
        <v>111022.48635291541</v>
      </c>
      <c r="X76" s="16">
        <f t="shared" si="12"/>
        <v>136086.86323240562</v>
      </c>
      <c r="Y76" s="16">
        <f t="shared" si="12"/>
        <v>87994.107481343439</v>
      </c>
      <c r="Z76" s="16">
        <f t="shared" si="12"/>
        <v>166680.98655284708</v>
      </c>
      <c r="AA76" s="16">
        <f t="shared" si="12"/>
        <v>-178888.5119549589</v>
      </c>
      <c r="AB76" s="16">
        <f t="shared" si="12"/>
        <v>65676.389702404849</v>
      </c>
      <c r="AC76" s="16">
        <f t="shared" si="12"/>
        <v>139535.90941712377</v>
      </c>
      <c r="AD76" s="16">
        <f t="shared" si="12"/>
        <v>202073.44523043837</v>
      </c>
      <c r="AE76" s="16">
        <f t="shared" si="12"/>
        <v>258479.55669882009</v>
      </c>
      <c r="AF76" s="16">
        <f t="shared" si="12"/>
        <v>316849.10630939552</v>
      </c>
      <c r="AG76" s="16">
        <f t="shared" si="12"/>
        <v>454219.86509312782</v>
      </c>
      <c r="AH76" s="16">
        <f t="shared" si="12"/>
        <v>454223.39406379778</v>
      </c>
      <c r="AI76" s="16">
        <f t="shared" ref="AI76:BA76" si="13">AI18-AI74</f>
        <v>199865.54421829013</v>
      </c>
      <c r="AJ76" s="16">
        <f t="shared" si="13"/>
        <v>227055.92153687426</v>
      </c>
      <c r="AK76" s="16">
        <f t="shared" si="13"/>
        <v>172685.3469834819</v>
      </c>
      <c r="AL76" s="16">
        <f t="shared" si="13"/>
        <v>258503.86150597921</v>
      </c>
      <c r="AM76" s="16">
        <f t="shared" si="13"/>
        <v>-99177.758963565109</v>
      </c>
      <c r="AN76" s="16">
        <f t="shared" si="13"/>
        <v>118321.15149138356</v>
      </c>
      <c r="AO76" s="16">
        <f t="shared" si="13"/>
        <v>227072.14877208276</v>
      </c>
      <c r="AP76" s="16">
        <f t="shared" si="13"/>
        <v>288076.93376476993</v>
      </c>
      <c r="AQ76" s="16">
        <f t="shared" si="13"/>
        <v>318969.55234091287</v>
      </c>
      <c r="AR76" s="16">
        <f t="shared" si="13"/>
        <v>375388.4353574533</v>
      </c>
      <c r="AS76" s="16">
        <f t="shared" si="13"/>
        <v>514708.53865705128</v>
      </c>
      <c r="AT76" s="16">
        <f t="shared" si="13"/>
        <v>514711.42306832271</v>
      </c>
      <c r="AU76" s="16">
        <f t="shared" si="13"/>
        <v>264831.18940607272</v>
      </c>
      <c r="AV76" s="16">
        <f t="shared" si="13"/>
        <v>294185.2184715271</v>
      </c>
      <c r="AW76" s="16">
        <f t="shared" si="13"/>
        <v>229271.50605255738</v>
      </c>
      <c r="AX76" s="16">
        <f t="shared" si="13"/>
        <v>318989.41792390356</v>
      </c>
      <c r="AY76" s="16">
        <f t="shared" si="13"/>
        <v>-62092.79515260621</v>
      </c>
      <c r="AZ76" s="16">
        <f t="shared" si="13"/>
        <v>171005.53257215978</v>
      </c>
      <c r="BA76" s="16">
        <f t="shared" si="13"/>
        <v>287555.95683484594</v>
      </c>
    </row>
    <row r="77" spans="1:53" x14ac:dyDescent="0.3">
      <c r="C77" s="13"/>
      <c r="D77" s="13"/>
      <c r="E77" s="16"/>
    </row>
    <row r="78" spans="1:53" ht="12.5" x14ac:dyDescent="0.25">
      <c r="A78" t="s">
        <v>57</v>
      </c>
      <c r="C78" s="13">
        <f t="shared" ref="C78:AH78" si="14">-C76*0.3</f>
        <v>0</v>
      </c>
      <c r="D78" s="13">
        <f t="shared" si="14"/>
        <v>0</v>
      </c>
      <c r="E78" s="13">
        <f t="shared" si="14"/>
        <v>182615.72938461541</v>
      </c>
      <c r="F78" s="13">
        <f t="shared" si="14"/>
        <v>5071.6590000005672</v>
      </c>
      <c r="G78" s="13">
        <f t="shared" si="14"/>
        <v>-10232.504382222542</v>
      </c>
      <c r="H78" s="13">
        <f t="shared" si="14"/>
        <v>-33937.133228638042</v>
      </c>
      <c r="I78" s="13">
        <f t="shared" si="14"/>
        <v>-68126.711597473288</v>
      </c>
      <c r="J78" s="13">
        <f t="shared" si="14"/>
        <v>-68313.362083582906</v>
      </c>
      <c r="K78" s="13">
        <f t="shared" si="14"/>
        <v>-4541.4473188566972</v>
      </c>
      <c r="L78" s="13">
        <f t="shared" si="14"/>
        <v>-11165.79497262463</v>
      </c>
      <c r="M78" s="13">
        <f t="shared" si="14"/>
        <v>1514.9987479375675</v>
      </c>
      <c r="N78" s="13">
        <f t="shared" si="14"/>
        <v>-21271.733502595802</v>
      </c>
      <c r="O78" s="13">
        <f t="shared" si="14"/>
        <v>65485.692291694984</v>
      </c>
      <c r="P78" s="13">
        <f t="shared" si="14"/>
        <v>13808.712507671071</v>
      </c>
      <c r="Q78" s="13">
        <f t="shared" si="14"/>
        <v>-12127.728117268834</v>
      </c>
      <c r="R78" s="13">
        <f t="shared" si="14"/>
        <v>-24993.021485592868</v>
      </c>
      <c r="S78" s="13">
        <f t="shared" si="14"/>
        <v>-39822.37754003908</v>
      </c>
      <c r="T78" s="13">
        <f t="shared" si="14"/>
        <v>-65874.32326401968</v>
      </c>
      <c r="U78" s="13">
        <f t="shared" si="14"/>
        <v>-106379.74068202435</v>
      </c>
      <c r="V78" s="13">
        <f t="shared" si="14"/>
        <v>-106580.46886002396</v>
      </c>
      <c r="W78" s="13">
        <f t="shared" si="14"/>
        <v>-33306.745905874624</v>
      </c>
      <c r="X78" s="13">
        <f t="shared" si="14"/>
        <v>-40826.058969721686</v>
      </c>
      <c r="Y78" s="13">
        <f t="shared" si="14"/>
        <v>-26398.232244403032</v>
      </c>
      <c r="Z78" s="13">
        <f t="shared" si="14"/>
        <v>-50004.295965854122</v>
      </c>
      <c r="AA78" s="13">
        <f t="shared" si="14"/>
        <v>53666.553586487666</v>
      </c>
      <c r="AB78" s="13">
        <f t="shared" si="14"/>
        <v>-19702.916910721455</v>
      </c>
      <c r="AC78" s="13">
        <f t="shared" si="14"/>
        <v>-41860.77282513713</v>
      </c>
      <c r="AD78" s="13">
        <f t="shared" si="14"/>
        <v>-60622.033569131512</v>
      </c>
      <c r="AE78" s="13">
        <f t="shared" si="14"/>
        <v>-77543.867009646026</v>
      </c>
      <c r="AF78" s="13">
        <f t="shared" si="14"/>
        <v>-95054.731892818658</v>
      </c>
      <c r="AG78" s="13">
        <f t="shared" si="14"/>
        <v>-136265.95952793834</v>
      </c>
      <c r="AH78" s="13">
        <f t="shared" si="14"/>
        <v>-136267.01821913934</v>
      </c>
      <c r="AI78" s="13">
        <f t="shared" ref="AI78:BA78" si="15">-AI76*0.3</f>
        <v>-59959.663265487034</v>
      </c>
      <c r="AJ78" s="13">
        <f t="shared" si="15"/>
        <v>-68116.776461062269</v>
      </c>
      <c r="AK78" s="13">
        <f t="shared" si="15"/>
        <v>-51805.604095044568</v>
      </c>
      <c r="AL78" s="13">
        <f t="shared" si="15"/>
        <v>-77551.158451793759</v>
      </c>
      <c r="AM78" s="13">
        <f t="shared" si="15"/>
        <v>29753.327689069531</v>
      </c>
      <c r="AN78" s="13">
        <f t="shared" si="15"/>
        <v>-35496.345447415064</v>
      </c>
      <c r="AO78" s="13">
        <f t="shared" si="15"/>
        <v>-68121.644631624818</v>
      </c>
      <c r="AP78" s="13">
        <f t="shared" si="15"/>
        <v>-86423.080129430979</v>
      </c>
      <c r="AQ78" s="13">
        <f t="shared" si="15"/>
        <v>-95690.865702273863</v>
      </c>
      <c r="AR78" s="13">
        <f t="shared" si="15"/>
        <v>-112616.53060723598</v>
      </c>
      <c r="AS78" s="13">
        <f t="shared" si="15"/>
        <v>-154412.56159711539</v>
      </c>
      <c r="AT78" s="13">
        <f t="shared" si="15"/>
        <v>-154413.4269204968</v>
      </c>
      <c r="AU78" s="13">
        <f t="shared" si="15"/>
        <v>-79449.356821821813</v>
      </c>
      <c r="AV78" s="13">
        <f t="shared" si="15"/>
        <v>-88255.565541458127</v>
      </c>
      <c r="AW78" s="13">
        <f t="shared" si="15"/>
        <v>-68781.451815767214</v>
      </c>
      <c r="AX78" s="13">
        <f t="shared" si="15"/>
        <v>-95696.825377171059</v>
      </c>
      <c r="AY78" s="13">
        <f t="shared" si="15"/>
        <v>18627.838545781862</v>
      </c>
      <c r="AZ78" s="13">
        <f t="shared" si="15"/>
        <v>-51301.65977164793</v>
      </c>
      <c r="BA78" s="13">
        <f t="shared" si="15"/>
        <v>-86266.787050453786</v>
      </c>
    </row>
    <row r="79" spans="1:53" ht="12.5" x14ac:dyDescent="0.25"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</row>
    <row r="80" spans="1:53" ht="15.5" x14ac:dyDescent="0.35">
      <c r="A80" s="4" t="s">
        <v>58</v>
      </c>
      <c r="C80" s="22">
        <f t="shared" ref="C80:AH80" si="16">SUM(C76:C78)</f>
        <v>0</v>
      </c>
      <c r="D80" s="22">
        <f t="shared" si="16"/>
        <v>0</v>
      </c>
      <c r="E80" s="22">
        <f t="shared" si="16"/>
        <v>-426103.36856410257</v>
      </c>
      <c r="F80" s="22">
        <f t="shared" si="16"/>
        <v>-11833.871000001323</v>
      </c>
      <c r="G80" s="22">
        <f t="shared" si="16"/>
        <v>23875.843558519264</v>
      </c>
      <c r="H80" s="22">
        <f t="shared" si="16"/>
        <v>79186.644200155453</v>
      </c>
      <c r="I80" s="22">
        <f t="shared" si="16"/>
        <v>158962.327060771</v>
      </c>
      <c r="J80" s="22">
        <f t="shared" si="16"/>
        <v>159397.84486169345</v>
      </c>
      <c r="K80" s="22">
        <f t="shared" si="16"/>
        <v>10596.710410665628</v>
      </c>
      <c r="L80" s="22">
        <f t="shared" si="16"/>
        <v>26053.521602790803</v>
      </c>
      <c r="M80" s="22">
        <f t="shared" si="16"/>
        <v>-3534.9970785209907</v>
      </c>
      <c r="N80" s="22">
        <f t="shared" si="16"/>
        <v>49634.044839390204</v>
      </c>
      <c r="O80" s="22">
        <f t="shared" si="16"/>
        <v>-152799.94868062163</v>
      </c>
      <c r="P80" s="22">
        <f t="shared" si="16"/>
        <v>-32220.329184565831</v>
      </c>
      <c r="Q80" s="22">
        <f t="shared" si="16"/>
        <v>28298.032273627283</v>
      </c>
      <c r="R80" s="22">
        <f t="shared" si="16"/>
        <v>58317.050133050026</v>
      </c>
      <c r="S80" s="22">
        <f t="shared" si="16"/>
        <v>92918.880926757876</v>
      </c>
      <c r="T80" s="22">
        <f t="shared" si="16"/>
        <v>153706.75428271259</v>
      </c>
      <c r="U80" s="22">
        <f t="shared" si="16"/>
        <v>248219.39492472349</v>
      </c>
      <c r="V80" s="22">
        <f t="shared" si="16"/>
        <v>248687.76067338925</v>
      </c>
      <c r="W80" s="22">
        <f t="shared" si="16"/>
        <v>77715.740447040793</v>
      </c>
      <c r="X80" s="22">
        <f t="shared" si="16"/>
        <v>95260.804262683931</v>
      </c>
      <c r="Y80" s="22">
        <f t="shared" si="16"/>
        <v>61595.87523694041</v>
      </c>
      <c r="Z80" s="22">
        <f t="shared" si="16"/>
        <v>116676.69058699296</v>
      </c>
      <c r="AA80" s="22">
        <f t="shared" si="16"/>
        <v>-125221.95836847124</v>
      </c>
      <c r="AB80" s="22">
        <f t="shared" si="16"/>
        <v>45973.472791683394</v>
      </c>
      <c r="AC80" s="22">
        <f t="shared" si="16"/>
        <v>97675.136591986637</v>
      </c>
      <c r="AD80" s="22">
        <f t="shared" si="16"/>
        <v>141451.41166130686</v>
      </c>
      <c r="AE80" s="22">
        <f t="shared" si="16"/>
        <v>180935.68968917406</v>
      </c>
      <c r="AF80" s="22">
        <f t="shared" si="16"/>
        <v>221794.37441657687</v>
      </c>
      <c r="AG80" s="22">
        <f t="shared" si="16"/>
        <v>317953.90556518949</v>
      </c>
      <c r="AH80" s="22">
        <f t="shared" si="16"/>
        <v>317956.37584465847</v>
      </c>
      <c r="AI80" s="22">
        <f t="shared" ref="AI80:BA80" si="17">SUM(AI76:AI78)</f>
        <v>139905.8809528031</v>
      </c>
      <c r="AJ80" s="22">
        <f t="shared" si="17"/>
        <v>158939.145075812</v>
      </c>
      <c r="AK80" s="22">
        <f t="shared" si="17"/>
        <v>120879.74288843732</v>
      </c>
      <c r="AL80" s="22">
        <f t="shared" si="17"/>
        <v>180952.70305418543</v>
      </c>
      <c r="AM80" s="22">
        <f t="shared" si="17"/>
        <v>-69424.431274495582</v>
      </c>
      <c r="AN80" s="22">
        <f t="shared" si="17"/>
        <v>82824.806043968492</v>
      </c>
      <c r="AO80" s="22">
        <f t="shared" si="17"/>
        <v>158950.50414045795</v>
      </c>
      <c r="AP80" s="22">
        <f t="shared" si="17"/>
        <v>201653.85363533895</v>
      </c>
      <c r="AQ80" s="22">
        <f t="shared" si="17"/>
        <v>223278.68663863902</v>
      </c>
      <c r="AR80" s="22">
        <f t="shared" si="17"/>
        <v>262771.90475021733</v>
      </c>
      <c r="AS80" s="22">
        <f t="shared" si="17"/>
        <v>360295.97705993592</v>
      </c>
      <c r="AT80" s="22">
        <f t="shared" si="17"/>
        <v>360297.99614782591</v>
      </c>
      <c r="AU80" s="22">
        <f t="shared" si="17"/>
        <v>185381.83258425089</v>
      </c>
      <c r="AV80" s="22">
        <f t="shared" si="17"/>
        <v>205929.65293006896</v>
      </c>
      <c r="AW80" s="22">
        <f t="shared" si="17"/>
        <v>160490.05423679017</v>
      </c>
      <c r="AX80" s="22">
        <f t="shared" si="17"/>
        <v>223292.59254673251</v>
      </c>
      <c r="AY80" s="22">
        <f t="shared" si="17"/>
        <v>-43464.956606824344</v>
      </c>
      <c r="AZ80" s="22">
        <f t="shared" si="17"/>
        <v>119703.87280051185</v>
      </c>
      <c r="BA80" s="22">
        <f t="shared" si="17"/>
        <v>201289.16978439217</v>
      </c>
    </row>
    <row r="81" spans="3:5" x14ac:dyDescent="0.3">
      <c r="C81" s="13"/>
      <c r="D81" s="13"/>
      <c r="E81" s="16"/>
    </row>
    <row r="82" spans="3:5" x14ac:dyDescent="0.3">
      <c r="C82" s="13"/>
      <c r="D82" s="13"/>
      <c r="E82" s="16"/>
    </row>
    <row r="83" spans="3:5" x14ac:dyDescent="0.3">
      <c r="C83" s="13"/>
      <c r="D83" s="13"/>
      <c r="E83" s="16"/>
    </row>
    <row r="84" spans="3:5" x14ac:dyDescent="0.3">
      <c r="C84" s="13"/>
      <c r="D84" s="13"/>
      <c r="E84" s="16"/>
    </row>
    <row r="85" spans="3:5" x14ac:dyDescent="0.3">
      <c r="C85" s="13"/>
      <c r="D85" s="13"/>
      <c r="E85" s="16"/>
    </row>
    <row r="86" spans="3:5" x14ac:dyDescent="0.3">
      <c r="C86" s="13"/>
      <c r="D86" s="13"/>
      <c r="E86" s="16"/>
    </row>
    <row r="87" spans="3:5" x14ac:dyDescent="0.3">
      <c r="C87" s="13"/>
      <c r="D87" s="13"/>
      <c r="E87" s="16"/>
    </row>
    <row r="88" spans="3:5" x14ac:dyDescent="0.3">
      <c r="C88" s="13"/>
      <c r="D88" s="13"/>
      <c r="E88" s="16"/>
    </row>
    <row r="89" spans="3:5" x14ac:dyDescent="0.3">
      <c r="C89" s="13"/>
      <c r="D89" s="13"/>
      <c r="E89" s="16"/>
    </row>
    <row r="90" spans="3:5" x14ac:dyDescent="0.3">
      <c r="C90" s="13"/>
      <c r="D90" s="13"/>
      <c r="E90" s="16"/>
    </row>
    <row r="91" spans="3:5" x14ac:dyDescent="0.3">
      <c r="C91" s="13"/>
      <c r="D91" s="13"/>
      <c r="E91" s="16"/>
    </row>
    <row r="92" spans="3:5" x14ac:dyDescent="0.3">
      <c r="C92" s="13"/>
      <c r="D92" s="13"/>
      <c r="E92" s="16"/>
    </row>
    <row r="93" spans="3:5" x14ac:dyDescent="0.3">
      <c r="C93" s="13"/>
      <c r="D93" s="13"/>
      <c r="E93" s="16"/>
    </row>
    <row r="94" spans="3:5" x14ac:dyDescent="0.3">
      <c r="C94" s="13"/>
      <c r="D94" s="13"/>
      <c r="E94" s="16"/>
    </row>
    <row r="95" spans="3:5" x14ac:dyDescent="0.3">
      <c r="C95" s="13"/>
      <c r="D95" s="13"/>
      <c r="E95" s="16"/>
    </row>
    <row r="96" spans="3:5" x14ac:dyDescent="0.3">
      <c r="C96" s="13"/>
      <c r="D96" s="13"/>
      <c r="E96" s="16"/>
    </row>
    <row r="97" spans="3:5" x14ac:dyDescent="0.3">
      <c r="C97" s="13"/>
      <c r="D97" s="13"/>
      <c r="E97" s="16"/>
    </row>
    <row r="98" spans="3:5" x14ac:dyDescent="0.3">
      <c r="C98" s="13"/>
      <c r="D98" s="13"/>
      <c r="E98" s="16"/>
    </row>
    <row r="99" spans="3:5" x14ac:dyDescent="0.3">
      <c r="C99" s="13"/>
      <c r="D99" s="13"/>
      <c r="E99" s="16"/>
    </row>
    <row r="100" spans="3:5" x14ac:dyDescent="0.3">
      <c r="C100" s="13"/>
      <c r="D100" s="13"/>
      <c r="E100" s="16"/>
    </row>
    <row r="101" spans="3:5" x14ac:dyDescent="0.3">
      <c r="C101" s="13"/>
      <c r="D101" s="13"/>
      <c r="E101" s="16"/>
    </row>
    <row r="102" spans="3:5" x14ac:dyDescent="0.3">
      <c r="C102" s="13"/>
      <c r="D102" s="13"/>
      <c r="E102" s="16"/>
    </row>
    <row r="103" spans="3:5" x14ac:dyDescent="0.3">
      <c r="C103" s="13"/>
      <c r="D103" s="13"/>
      <c r="E103" s="16"/>
    </row>
    <row r="104" spans="3:5" x14ac:dyDescent="0.3">
      <c r="C104" s="13"/>
      <c r="D104" s="13"/>
      <c r="E104" s="16"/>
    </row>
    <row r="105" spans="3:5" x14ac:dyDescent="0.3">
      <c r="C105" s="13"/>
      <c r="D105" s="13"/>
      <c r="E105" s="16"/>
    </row>
    <row r="106" spans="3:5" x14ac:dyDescent="0.3">
      <c r="C106" s="13"/>
      <c r="D106" s="13"/>
      <c r="E106" s="16"/>
    </row>
    <row r="107" spans="3:5" x14ac:dyDescent="0.3">
      <c r="C107" s="13"/>
      <c r="D107" s="13"/>
      <c r="E107" s="16"/>
    </row>
    <row r="108" spans="3:5" x14ac:dyDescent="0.3">
      <c r="C108" s="13"/>
      <c r="D108" s="13"/>
      <c r="E108" s="16"/>
    </row>
    <row r="109" spans="3:5" x14ac:dyDescent="0.3">
      <c r="C109" s="13"/>
      <c r="D109" s="13"/>
      <c r="E109" s="16"/>
    </row>
    <row r="110" spans="3:5" x14ac:dyDescent="0.3">
      <c r="C110" s="13"/>
      <c r="D110" s="13"/>
      <c r="E110" s="16"/>
    </row>
    <row r="111" spans="3:5" x14ac:dyDescent="0.3">
      <c r="C111" s="13"/>
      <c r="D111" s="13"/>
      <c r="E111" s="16"/>
    </row>
    <row r="112" spans="3:5" x14ac:dyDescent="0.3">
      <c r="C112" s="13"/>
      <c r="D112" s="13"/>
      <c r="E112" s="16"/>
    </row>
    <row r="113" spans="3:5" x14ac:dyDescent="0.3">
      <c r="C113" s="13"/>
      <c r="D113" s="13"/>
      <c r="E113" s="16"/>
    </row>
    <row r="114" spans="3:5" x14ac:dyDescent="0.3">
      <c r="C114" s="13"/>
      <c r="D114" s="13"/>
      <c r="E114" s="16"/>
    </row>
    <row r="115" spans="3:5" x14ac:dyDescent="0.3">
      <c r="C115" s="13"/>
      <c r="D115" s="13"/>
      <c r="E115" s="16"/>
    </row>
    <row r="116" spans="3:5" x14ac:dyDescent="0.3">
      <c r="C116" s="13"/>
      <c r="D116" s="13"/>
      <c r="E116" s="16"/>
    </row>
    <row r="117" spans="3:5" x14ac:dyDescent="0.3">
      <c r="C117" s="13"/>
      <c r="D117" s="13"/>
      <c r="E117" s="16"/>
    </row>
    <row r="118" spans="3:5" x14ac:dyDescent="0.3">
      <c r="C118" s="13"/>
      <c r="D118" s="13"/>
      <c r="E118" s="16"/>
    </row>
    <row r="119" spans="3:5" x14ac:dyDescent="0.3">
      <c r="C119" s="13"/>
      <c r="D119" s="13"/>
      <c r="E119" s="16"/>
    </row>
    <row r="120" spans="3:5" x14ac:dyDescent="0.3">
      <c r="C120" s="13"/>
      <c r="D120" s="13"/>
      <c r="E120" s="16"/>
    </row>
    <row r="121" spans="3:5" x14ac:dyDescent="0.3">
      <c r="C121" s="13"/>
      <c r="D121" s="13"/>
      <c r="E121" s="16"/>
    </row>
    <row r="122" spans="3:5" x14ac:dyDescent="0.3">
      <c r="C122" s="13"/>
      <c r="D122" s="13"/>
      <c r="E122" s="16"/>
    </row>
    <row r="123" spans="3:5" x14ac:dyDescent="0.3">
      <c r="C123" s="13"/>
      <c r="D123" s="13"/>
      <c r="E123" s="16"/>
    </row>
    <row r="124" spans="3:5" x14ac:dyDescent="0.3">
      <c r="C124" s="13"/>
      <c r="D124" s="13"/>
      <c r="E124" s="16"/>
    </row>
    <row r="125" spans="3:5" x14ac:dyDescent="0.3">
      <c r="C125" s="13"/>
      <c r="D125" s="13"/>
      <c r="E125" s="16"/>
    </row>
    <row r="126" spans="3:5" x14ac:dyDescent="0.3">
      <c r="C126" s="13"/>
      <c r="D126" s="13"/>
      <c r="E126" s="16"/>
    </row>
    <row r="127" spans="3:5" x14ac:dyDescent="0.3">
      <c r="C127" s="13"/>
      <c r="D127" s="13"/>
      <c r="E127" s="16"/>
    </row>
    <row r="128" spans="3:5" x14ac:dyDescent="0.3">
      <c r="C128" s="13"/>
      <c r="D128" s="13"/>
      <c r="E128" s="16"/>
    </row>
    <row r="129" spans="3:5" x14ac:dyDescent="0.3">
      <c r="C129" s="13"/>
      <c r="D129" s="13"/>
      <c r="E129" s="16"/>
    </row>
    <row r="130" spans="3:5" x14ac:dyDescent="0.3">
      <c r="C130" s="13"/>
      <c r="D130" s="13"/>
      <c r="E130" s="16"/>
    </row>
    <row r="131" spans="3:5" x14ac:dyDescent="0.3">
      <c r="C131" s="13"/>
      <c r="D131" s="13"/>
      <c r="E131" s="16"/>
    </row>
    <row r="132" spans="3:5" x14ac:dyDescent="0.3">
      <c r="C132" s="13"/>
      <c r="D132" s="13"/>
      <c r="E132" s="16"/>
    </row>
    <row r="133" spans="3:5" x14ac:dyDescent="0.3">
      <c r="C133" s="13"/>
      <c r="D133" s="13"/>
      <c r="E133" s="16"/>
    </row>
    <row r="134" spans="3:5" x14ac:dyDescent="0.3">
      <c r="C134" s="13"/>
      <c r="D134" s="13"/>
      <c r="E134" s="16"/>
    </row>
    <row r="135" spans="3:5" x14ac:dyDescent="0.3">
      <c r="C135" s="13"/>
      <c r="D135" s="13"/>
      <c r="E135" s="16"/>
    </row>
    <row r="136" spans="3:5" x14ac:dyDescent="0.3">
      <c r="C136" s="13"/>
      <c r="D136" s="13"/>
      <c r="E136" s="16"/>
    </row>
    <row r="137" spans="3:5" x14ac:dyDescent="0.3">
      <c r="C137" s="13"/>
      <c r="D137" s="13"/>
      <c r="E137" s="16"/>
    </row>
    <row r="138" spans="3:5" x14ac:dyDescent="0.3">
      <c r="C138" s="13"/>
      <c r="D138" s="13"/>
      <c r="E138" s="16"/>
    </row>
    <row r="139" spans="3:5" x14ac:dyDescent="0.3">
      <c r="C139" s="13"/>
      <c r="D139" s="13"/>
      <c r="E139" s="16"/>
    </row>
    <row r="140" spans="3:5" x14ac:dyDescent="0.3">
      <c r="C140" s="13"/>
      <c r="D140" s="13"/>
      <c r="E140" s="16"/>
    </row>
    <row r="141" spans="3:5" x14ac:dyDescent="0.3">
      <c r="C141" s="13"/>
      <c r="D141" s="13"/>
      <c r="E141" s="16"/>
    </row>
    <row r="142" spans="3:5" x14ac:dyDescent="0.3">
      <c r="C142" s="13"/>
      <c r="D142" s="13"/>
      <c r="E142" s="16"/>
    </row>
    <row r="143" spans="3:5" x14ac:dyDescent="0.3">
      <c r="C143" s="13"/>
      <c r="D143" s="13"/>
      <c r="E143" s="16"/>
    </row>
    <row r="144" spans="3:5" x14ac:dyDescent="0.3">
      <c r="C144" s="13"/>
      <c r="D144" s="13"/>
      <c r="E144" s="16"/>
    </row>
    <row r="145" spans="3:5" x14ac:dyDescent="0.3">
      <c r="C145" s="13"/>
      <c r="D145" s="13"/>
      <c r="E145" s="16"/>
    </row>
    <row r="146" spans="3:5" x14ac:dyDescent="0.3">
      <c r="C146" s="13"/>
      <c r="D146" s="13"/>
      <c r="E146" s="16"/>
    </row>
    <row r="147" spans="3:5" x14ac:dyDescent="0.3">
      <c r="C147" s="13"/>
      <c r="D147" s="13"/>
      <c r="E147" s="16"/>
    </row>
    <row r="148" spans="3:5" x14ac:dyDescent="0.3">
      <c r="C148" s="13"/>
      <c r="D148" s="13"/>
      <c r="E148" s="16"/>
    </row>
    <row r="149" spans="3:5" x14ac:dyDescent="0.3">
      <c r="C149" s="13"/>
      <c r="D149" s="13"/>
      <c r="E149" s="16"/>
    </row>
    <row r="150" spans="3:5" x14ac:dyDescent="0.3">
      <c r="C150" s="13"/>
      <c r="D150" s="13"/>
      <c r="E150" s="16"/>
    </row>
    <row r="151" spans="3:5" x14ac:dyDescent="0.3">
      <c r="C151" s="13"/>
      <c r="D151" s="13"/>
      <c r="E151" s="16"/>
    </row>
    <row r="152" spans="3:5" x14ac:dyDescent="0.3">
      <c r="C152" s="13"/>
      <c r="D152" s="13"/>
      <c r="E152" s="16"/>
    </row>
    <row r="153" spans="3:5" x14ac:dyDescent="0.3">
      <c r="C153" s="13"/>
      <c r="D153" s="13"/>
      <c r="E153" s="16"/>
    </row>
    <row r="154" spans="3:5" x14ac:dyDescent="0.3">
      <c r="C154" s="13"/>
      <c r="D154" s="13"/>
      <c r="E154" s="16"/>
    </row>
    <row r="155" spans="3:5" x14ac:dyDescent="0.3">
      <c r="C155" s="13"/>
      <c r="D155" s="13"/>
      <c r="E155" s="16"/>
    </row>
    <row r="156" spans="3:5" x14ac:dyDescent="0.3">
      <c r="C156" s="13"/>
      <c r="D156" s="13"/>
      <c r="E156" s="16"/>
    </row>
    <row r="157" spans="3:5" x14ac:dyDescent="0.3">
      <c r="C157" s="13"/>
      <c r="D157" s="13"/>
      <c r="E157" s="16"/>
    </row>
    <row r="158" spans="3:5" x14ac:dyDescent="0.3">
      <c r="C158" s="13"/>
      <c r="D158" s="13"/>
      <c r="E158" s="16"/>
    </row>
    <row r="159" spans="3:5" x14ac:dyDescent="0.3">
      <c r="C159" s="13"/>
      <c r="D159" s="13"/>
      <c r="E159" s="16"/>
    </row>
    <row r="160" spans="3:5" x14ac:dyDescent="0.3">
      <c r="C160" s="13"/>
      <c r="D160" s="13"/>
      <c r="E160" s="16"/>
    </row>
    <row r="161" spans="3:5" x14ac:dyDescent="0.3">
      <c r="C161" s="13"/>
      <c r="D161" s="13"/>
      <c r="E161" s="16"/>
    </row>
    <row r="162" spans="3:5" x14ac:dyDescent="0.3">
      <c r="C162" s="13"/>
      <c r="D162" s="13"/>
      <c r="E162" s="16"/>
    </row>
    <row r="163" spans="3:5" x14ac:dyDescent="0.3">
      <c r="C163" s="13"/>
      <c r="D163" s="13"/>
      <c r="E163" s="16"/>
    </row>
    <row r="164" spans="3:5" x14ac:dyDescent="0.3">
      <c r="C164" s="13"/>
      <c r="D164" s="13"/>
      <c r="E164" s="16"/>
    </row>
    <row r="165" spans="3:5" x14ac:dyDescent="0.3">
      <c r="C165" s="13"/>
      <c r="D165" s="13"/>
      <c r="E165" s="16"/>
    </row>
    <row r="166" spans="3:5" x14ac:dyDescent="0.3">
      <c r="C166" s="13"/>
      <c r="D166" s="13"/>
      <c r="E166" s="16"/>
    </row>
    <row r="167" spans="3:5" x14ac:dyDescent="0.3">
      <c r="C167" s="13"/>
      <c r="D167" s="13"/>
      <c r="E167" s="16"/>
    </row>
    <row r="168" spans="3:5" x14ac:dyDescent="0.3">
      <c r="C168" s="13"/>
      <c r="D168" s="13"/>
      <c r="E168" s="16"/>
    </row>
    <row r="169" spans="3:5" x14ac:dyDescent="0.3">
      <c r="C169" s="13"/>
      <c r="D169" s="13"/>
      <c r="E169" s="16"/>
    </row>
    <row r="170" spans="3:5" x14ac:dyDescent="0.3">
      <c r="C170" s="13"/>
      <c r="D170" s="13"/>
      <c r="E170" s="16"/>
    </row>
    <row r="171" spans="3:5" x14ac:dyDescent="0.3">
      <c r="C171" s="13"/>
      <c r="D171" s="13"/>
      <c r="E171" s="16"/>
    </row>
    <row r="172" spans="3:5" x14ac:dyDescent="0.3">
      <c r="C172" s="13"/>
      <c r="D172" s="13"/>
      <c r="E172" s="16"/>
    </row>
    <row r="173" spans="3:5" x14ac:dyDescent="0.3">
      <c r="C173" s="13"/>
      <c r="D173" s="13"/>
      <c r="E173" s="16"/>
    </row>
    <row r="174" spans="3:5" x14ac:dyDescent="0.3">
      <c r="C174" s="13"/>
      <c r="D174" s="13"/>
      <c r="E174" s="16"/>
    </row>
    <row r="175" spans="3:5" x14ac:dyDescent="0.3">
      <c r="C175" s="13"/>
      <c r="D175" s="13"/>
      <c r="E175" s="16"/>
    </row>
    <row r="176" spans="3:5" x14ac:dyDescent="0.3">
      <c r="C176" s="13"/>
      <c r="D176" s="13"/>
      <c r="E176" s="16"/>
    </row>
    <row r="177" spans="3:5" x14ac:dyDescent="0.3">
      <c r="C177" s="13"/>
      <c r="D177" s="13"/>
      <c r="E177" s="16"/>
    </row>
    <row r="178" spans="3:5" x14ac:dyDescent="0.3">
      <c r="C178" s="13"/>
      <c r="D178" s="13"/>
      <c r="E178" s="16"/>
    </row>
    <row r="179" spans="3:5" x14ac:dyDescent="0.3">
      <c r="C179" s="13"/>
      <c r="D179" s="13"/>
      <c r="E179" s="16"/>
    </row>
    <row r="180" spans="3:5" x14ac:dyDescent="0.3">
      <c r="C180" s="13"/>
      <c r="D180" s="13"/>
      <c r="E180" s="16"/>
    </row>
    <row r="181" spans="3:5" x14ac:dyDescent="0.3">
      <c r="C181" s="13"/>
      <c r="D181" s="13"/>
      <c r="E181" s="16"/>
    </row>
    <row r="182" spans="3:5" x14ac:dyDescent="0.3">
      <c r="C182" s="13"/>
      <c r="D182" s="13"/>
      <c r="E182" s="16"/>
    </row>
    <row r="183" spans="3:5" x14ac:dyDescent="0.3">
      <c r="C183" s="13"/>
      <c r="D183" s="13"/>
      <c r="E183" s="16"/>
    </row>
    <row r="184" spans="3:5" x14ac:dyDescent="0.3">
      <c r="C184" s="13"/>
      <c r="D184" s="13"/>
      <c r="E184" s="16"/>
    </row>
    <row r="185" spans="3:5" x14ac:dyDescent="0.3">
      <c r="C185" s="13"/>
      <c r="D185" s="13"/>
      <c r="E185" s="16"/>
    </row>
    <row r="186" spans="3:5" x14ac:dyDescent="0.3">
      <c r="C186" s="13"/>
      <c r="D186" s="13"/>
      <c r="E186" s="16"/>
    </row>
    <row r="187" spans="3:5" x14ac:dyDescent="0.3">
      <c r="C187" s="13"/>
      <c r="D187" s="13"/>
      <c r="E187" s="16"/>
    </row>
    <row r="188" spans="3:5" x14ac:dyDescent="0.3">
      <c r="C188" s="13"/>
      <c r="D188" s="13"/>
      <c r="E188" s="16"/>
    </row>
    <row r="189" spans="3:5" x14ac:dyDescent="0.3">
      <c r="C189" s="13"/>
      <c r="D189" s="13"/>
      <c r="E189" s="16"/>
    </row>
    <row r="190" spans="3:5" x14ac:dyDescent="0.3">
      <c r="C190" s="13"/>
      <c r="D190" s="13"/>
      <c r="E190" s="16"/>
    </row>
    <row r="191" spans="3:5" x14ac:dyDescent="0.3">
      <c r="C191" s="13"/>
      <c r="D191" s="13"/>
      <c r="E191" s="16"/>
    </row>
    <row r="192" spans="3:5" x14ac:dyDescent="0.3">
      <c r="C192" s="13"/>
      <c r="D192" s="13"/>
      <c r="E192" s="16"/>
    </row>
    <row r="193" spans="3:5" x14ac:dyDescent="0.3">
      <c r="C193" s="13"/>
      <c r="D193" s="13"/>
      <c r="E193" s="16"/>
    </row>
    <row r="194" spans="3:5" x14ac:dyDescent="0.3">
      <c r="C194" s="13"/>
      <c r="D194" s="13"/>
      <c r="E194" s="16"/>
    </row>
    <row r="195" spans="3:5" x14ac:dyDescent="0.3">
      <c r="C195" s="13"/>
      <c r="D195" s="13"/>
      <c r="E195" s="16"/>
    </row>
    <row r="196" spans="3:5" x14ac:dyDescent="0.3">
      <c r="C196" s="13"/>
      <c r="D196" s="13"/>
      <c r="E196" s="16"/>
    </row>
    <row r="197" spans="3:5" x14ac:dyDescent="0.3">
      <c r="C197" s="13"/>
      <c r="D197" s="13"/>
      <c r="E197" s="16"/>
    </row>
    <row r="198" spans="3:5" x14ac:dyDescent="0.3">
      <c r="C198" s="13"/>
      <c r="D198" s="13"/>
      <c r="E198" s="16"/>
    </row>
    <row r="199" spans="3:5" x14ac:dyDescent="0.3">
      <c r="C199" s="13"/>
      <c r="D199" s="13"/>
      <c r="E199" s="16"/>
    </row>
    <row r="200" spans="3:5" x14ac:dyDescent="0.3">
      <c r="C200" s="13"/>
      <c r="D200" s="13"/>
      <c r="E200" s="16"/>
    </row>
    <row r="201" spans="3:5" x14ac:dyDescent="0.3">
      <c r="C201" s="13"/>
      <c r="D201" s="13"/>
      <c r="E201" s="16"/>
    </row>
    <row r="202" spans="3:5" x14ac:dyDescent="0.3">
      <c r="C202" s="13"/>
      <c r="D202" s="13"/>
      <c r="E202" s="16"/>
    </row>
    <row r="203" spans="3:5" x14ac:dyDescent="0.3">
      <c r="C203" s="13"/>
      <c r="D203" s="13"/>
      <c r="E203" s="16"/>
    </row>
    <row r="204" spans="3:5" x14ac:dyDescent="0.3">
      <c r="C204" s="13"/>
      <c r="D204" s="13"/>
      <c r="E204" s="16"/>
    </row>
    <row r="205" spans="3:5" x14ac:dyDescent="0.3">
      <c r="C205" s="13"/>
      <c r="D205" s="13"/>
      <c r="E205" s="16"/>
    </row>
    <row r="206" spans="3:5" x14ac:dyDescent="0.3">
      <c r="C206" s="13"/>
      <c r="D206" s="13"/>
      <c r="E206" s="16"/>
    </row>
    <row r="207" spans="3:5" x14ac:dyDescent="0.3">
      <c r="C207" s="13"/>
      <c r="D207" s="13"/>
      <c r="E207" s="16"/>
    </row>
    <row r="208" spans="3:5" x14ac:dyDescent="0.3">
      <c r="C208" s="13"/>
      <c r="D208" s="13"/>
      <c r="E208" s="16"/>
    </row>
  </sheetData>
  <pageMargins left="0.19652777777777777" right="0.15763888888888888" top="0.19652777777777777" bottom="0.15763888888888888" header="0.51180555555555562" footer="0.51180555555555562"/>
  <pageSetup paperSize="9" firstPageNumber="0" orientation="landscape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74"/>
  <sheetViews>
    <sheetView zoomScaleSheetLayoutView="75" workbookViewId="0">
      <pane xSplit="2" ySplit="7" topLeftCell="C8" activePane="bottomRight" state="frozen"/>
      <selection pane="topRight" activeCell="C1" sqref="C1"/>
      <selection pane="bottomLeft" activeCell="A60" sqref="A60"/>
      <selection pane="bottomRight"/>
    </sheetView>
  </sheetViews>
  <sheetFormatPr defaultColWidth="9.08984375" defaultRowHeight="12.5" x14ac:dyDescent="0.25"/>
  <cols>
    <col min="1" max="1" width="2.453125" style="1" customWidth="1"/>
    <col min="2" max="2" width="30.453125" style="1" customWidth="1"/>
    <col min="3" max="53" width="10.7265625" style="25" customWidth="1"/>
    <col min="54" max="16384" width="9.08984375" style="1"/>
  </cols>
  <sheetData>
    <row r="1" spans="1:53" ht="15.5" x14ac:dyDescent="0.35">
      <c r="A1" s="26" t="s">
        <v>240</v>
      </c>
      <c r="B1" s="27"/>
    </row>
    <row r="2" spans="1:53" ht="15.5" x14ac:dyDescent="0.35">
      <c r="A2" s="26" t="s">
        <v>82</v>
      </c>
      <c r="B2" s="27"/>
    </row>
    <row r="3" spans="1:53" ht="15.5" x14ac:dyDescent="0.35">
      <c r="A3" s="26" t="s">
        <v>81</v>
      </c>
      <c r="B3" s="27"/>
    </row>
    <row r="5" spans="1:53" ht="13" x14ac:dyDescent="0.3">
      <c r="C5" s="8" t="s">
        <v>60</v>
      </c>
      <c r="D5" s="8" t="s">
        <v>61</v>
      </c>
      <c r="E5" s="8" t="s">
        <v>62</v>
      </c>
      <c r="F5" s="8" t="s">
        <v>64</v>
      </c>
      <c r="G5" s="8" t="s">
        <v>65</v>
      </c>
      <c r="H5" s="8" t="s">
        <v>66</v>
      </c>
      <c r="I5" s="8" t="s">
        <v>67</v>
      </c>
      <c r="J5" s="8" t="s">
        <v>68</v>
      </c>
      <c r="K5" s="8" t="s">
        <v>69</v>
      </c>
      <c r="L5" s="8" t="s">
        <v>70</v>
      </c>
      <c r="M5" s="8" t="s">
        <v>71</v>
      </c>
      <c r="N5" s="8" t="s">
        <v>72</v>
      </c>
      <c r="O5" s="8" t="s">
        <v>60</v>
      </c>
      <c r="P5" s="8" t="s">
        <v>61</v>
      </c>
      <c r="Q5" s="8" t="s">
        <v>62</v>
      </c>
      <c r="R5" s="8" t="s">
        <v>64</v>
      </c>
      <c r="S5" s="8" t="s">
        <v>65</v>
      </c>
      <c r="T5" s="8" t="s">
        <v>66</v>
      </c>
      <c r="U5" s="8" t="s">
        <v>67</v>
      </c>
      <c r="V5" s="8" t="s">
        <v>68</v>
      </c>
      <c r="W5" s="8" t="s">
        <v>69</v>
      </c>
      <c r="X5" s="8" t="s">
        <v>70</v>
      </c>
      <c r="Y5" s="8" t="s">
        <v>71</v>
      </c>
      <c r="Z5" s="8" t="s">
        <v>72</v>
      </c>
      <c r="AA5" s="8" t="s">
        <v>60</v>
      </c>
      <c r="AB5" s="8" t="s">
        <v>61</v>
      </c>
      <c r="AC5" s="8" t="s">
        <v>62</v>
      </c>
      <c r="AD5" s="8" t="s">
        <v>64</v>
      </c>
      <c r="AE5" s="8" t="s">
        <v>65</v>
      </c>
      <c r="AF5" s="8" t="s">
        <v>66</v>
      </c>
      <c r="AG5" s="8" t="s">
        <v>67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60</v>
      </c>
      <c r="AN5" s="8" t="s">
        <v>61</v>
      </c>
      <c r="AO5" s="8" t="s">
        <v>62</v>
      </c>
      <c r="AP5" s="8" t="s">
        <v>64</v>
      </c>
      <c r="AQ5" s="8" t="s">
        <v>65</v>
      </c>
      <c r="AR5" s="8" t="s">
        <v>66</v>
      </c>
      <c r="AS5" s="8" t="s">
        <v>67</v>
      </c>
      <c r="AT5" s="8" t="s">
        <v>68</v>
      </c>
      <c r="AU5" s="8" t="s">
        <v>69</v>
      </c>
      <c r="AV5" s="8" t="s">
        <v>70</v>
      </c>
      <c r="AW5" s="8" t="s">
        <v>71</v>
      </c>
      <c r="AX5" s="8" t="s">
        <v>72</v>
      </c>
      <c r="AY5" s="8" t="s">
        <v>60</v>
      </c>
      <c r="AZ5" s="8" t="s">
        <v>61</v>
      </c>
      <c r="BA5" s="8" t="s">
        <v>62</v>
      </c>
    </row>
    <row r="6" spans="1:53" s="9" customFormat="1" ht="13" x14ac:dyDescent="0.3">
      <c r="C6" s="7">
        <v>2006</v>
      </c>
      <c r="D6" s="7">
        <v>2006</v>
      </c>
      <c r="E6" s="7">
        <v>2006</v>
      </c>
      <c r="F6" s="7">
        <v>2006</v>
      </c>
      <c r="G6" s="7">
        <v>2006</v>
      </c>
      <c r="H6" s="7">
        <v>2006</v>
      </c>
      <c r="I6" s="7">
        <v>2006</v>
      </c>
      <c r="J6" s="7">
        <v>2006</v>
      </c>
      <c r="K6" s="7">
        <v>2006</v>
      </c>
      <c r="L6" s="7">
        <v>2006</v>
      </c>
      <c r="M6" s="7">
        <v>2006</v>
      </c>
      <c r="N6" s="7">
        <v>2006</v>
      </c>
      <c r="O6" s="7">
        <v>2007</v>
      </c>
      <c r="P6" s="7">
        <v>2007</v>
      </c>
      <c r="Q6" s="7">
        <v>2007</v>
      </c>
      <c r="R6" s="7">
        <v>2007</v>
      </c>
      <c r="S6" s="7">
        <v>2007</v>
      </c>
      <c r="T6" s="7">
        <v>2007</v>
      </c>
      <c r="U6" s="7">
        <v>2007</v>
      </c>
      <c r="V6" s="7">
        <v>2007</v>
      </c>
      <c r="W6" s="7">
        <v>2007</v>
      </c>
      <c r="X6" s="7">
        <v>2007</v>
      </c>
      <c r="Y6" s="7">
        <v>2007</v>
      </c>
      <c r="Z6" s="7">
        <v>2007</v>
      </c>
      <c r="AA6" s="7">
        <v>2008</v>
      </c>
      <c r="AB6" s="7">
        <v>2008</v>
      </c>
      <c r="AC6" s="7">
        <v>2008</v>
      </c>
      <c r="AD6" s="7">
        <v>2008</v>
      </c>
      <c r="AE6" s="7">
        <v>2008</v>
      </c>
      <c r="AF6" s="7">
        <v>2008</v>
      </c>
      <c r="AG6" s="7">
        <v>2008</v>
      </c>
      <c r="AH6" s="7">
        <v>2008</v>
      </c>
      <c r="AI6" s="7">
        <v>2008</v>
      </c>
      <c r="AJ6" s="7">
        <v>2008</v>
      </c>
      <c r="AK6" s="7">
        <v>2008</v>
      </c>
      <c r="AL6" s="7">
        <v>2008</v>
      </c>
      <c r="AM6" s="7">
        <v>2009</v>
      </c>
      <c r="AN6" s="7">
        <v>2009</v>
      </c>
      <c r="AO6" s="7">
        <v>2009</v>
      </c>
      <c r="AP6" s="7">
        <v>2009</v>
      </c>
      <c r="AQ6" s="7">
        <v>2009</v>
      </c>
      <c r="AR6" s="7">
        <v>2009</v>
      </c>
      <c r="AS6" s="7">
        <v>2009</v>
      </c>
      <c r="AT6" s="7">
        <v>2009</v>
      </c>
      <c r="AU6" s="7">
        <v>2009</v>
      </c>
      <c r="AV6" s="7">
        <v>2009</v>
      </c>
      <c r="AW6" s="7">
        <v>2009</v>
      </c>
      <c r="AX6" s="7">
        <v>2009</v>
      </c>
      <c r="AY6" s="7">
        <v>2010</v>
      </c>
      <c r="AZ6" s="7">
        <v>2010</v>
      </c>
      <c r="BA6" s="7">
        <v>2010</v>
      </c>
    </row>
    <row r="7" spans="1:53" ht="15.5" x14ac:dyDescent="0.35">
      <c r="A7" s="26" t="s">
        <v>7</v>
      </c>
    </row>
    <row r="8" spans="1:53" ht="13" x14ac:dyDescent="0.3">
      <c r="B8" s="2" t="s">
        <v>8</v>
      </c>
    </row>
    <row r="9" spans="1:53" ht="13" x14ac:dyDescent="0.3">
      <c r="B9" s="2" t="s">
        <v>83</v>
      </c>
    </row>
    <row r="10" spans="1:53" x14ac:dyDescent="0.25">
      <c r="B10" s="1" t="s">
        <v>84</v>
      </c>
      <c r="C10" s="25">
        <f>'P_L Variables'!L12*'P_L Variables'!L34*2</f>
        <v>0</v>
      </c>
      <c r="D10" s="25">
        <f>'P_L Variables'!M12*'P_L Variables'!M34*2</f>
        <v>0</v>
      </c>
      <c r="E10" s="25">
        <f>F10/4</f>
        <v>4100</v>
      </c>
      <c r="F10" s="25">
        <f>'P_L Variables'!C13*'P_L Variables'!C35</f>
        <v>16400</v>
      </c>
      <c r="G10" s="25">
        <f>'P_L Variables'!D13*'P_L Variables'!D35</f>
        <v>16400</v>
      </c>
      <c r="H10" s="25">
        <f>'P_L Variables'!E13*'P_L Variables'!E35</f>
        <v>16400</v>
      </c>
      <c r="I10" s="25">
        <f>'P_L Variables'!F13*'P_L Variables'!F35</f>
        <v>16400</v>
      </c>
      <c r="J10" s="25">
        <f>'P_L Variables'!G13*'P_L Variables'!G35</f>
        <v>16400</v>
      </c>
      <c r="K10" s="25">
        <f>'P_L Variables'!H13*'P_L Variables'!H35</f>
        <v>16400</v>
      </c>
      <c r="L10" s="25">
        <f>'P_L Variables'!I13*'P_L Variables'!I35</f>
        <v>16400</v>
      </c>
      <c r="M10" s="25">
        <f>'P_L Variables'!J13*'P_L Variables'!J35</f>
        <v>16400</v>
      </c>
      <c r="N10" s="25">
        <f>'P_L Variables'!K13*'P_L Variables'!K35</f>
        <v>16400</v>
      </c>
      <c r="O10" s="25">
        <f>'P_L Variables'!L13*'P_L Variables'!L35</f>
        <v>16400</v>
      </c>
      <c r="P10" s="25">
        <f>'P_L Variables'!M13*'P_L Variables'!M35</f>
        <v>16400</v>
      </c>
      <c r="Q10" s="25">
        <f>'P_L Variables'!N13*'P_L Variables'!N35</f>
        <v>16400</v>
      </c>
      <c r="R10" s="25">
        <f>'P_L Variables'!C14*'P_L Variables'!C36</f>
        <v>17850</v>
      </c>
      <c r="S10" s="25">
        <f>'P_L Variables'!D14*'P_L Variables'!D36</f>
        <v>17850</v>
      </c>
      <c r="T10" s="25">
        <f>'P_L Variables'!E14*'P_L Variables'!E36</f>
        <v>17850</v>
      </c>
      <c r="U10" s="25">
        <f>'P_L Variables'!F14*'P_L Variables'!F36</f>
        <v>17850</v>
      </c>
      <c r="V10" s="25">
        <f>'P_L Variables'!G14*'P_L Variables'!G36</f>
        <v>17850</v>
      </c>
      <c r="W10" s="25">
        <f>'P_L Variables'!H14*'P_L Variables'!H36</f>
        <v>17850</v>
      </c>
      <c r="X10" s="25">
        <f>'P_L Variables'!I14*'P_L Variables'!I36</f>
        <v>17850</v>
      </c>
      <c r="Y10" s="25">
        <f>'P_L Variables'!J14*'P_L Variables'!J36</f>
        <v>17850</v>
      </c>
      <c r="Z10" s="25">
        <f>'P_L Variables'!K14*'P_L Variables'!K36</f>
        <v>17850</v>
      </c>
      <c r="AA10" s="25">
        <f>'P_L Variables'!L14*'P_L Variables'!L36</f>
        <v>17850</v>
      </c>
      <c r="AB10" s="25">
        <f>'P_L Variables'!M14*'P_L Variables'!M36</f>
        <v>17850</v>
      </c>
      <c r="AC10" s="25">
        <f>'P_L Variables'!N14*'P_L Variables'!N36</f>
        <v>17850</v>
      </c>
      <c r="AD10" s="25">
        <f>'P_L Variables'!C15*'P_L Variables'!C37</f>
        <v>19350</v>
      </c>
      <c r="AE10" s="25">
        <f>'P_L Variables'!D15*'P_L Variables'!D37</f>
        <v>19350</v>
      </c>
      <c r="AF10" s="25">
        <f>'P_L Variables'!E15*'P_L Variables'!E37</f>
        <v>19350</v>
      </c>
      <c r="AG10" s="25">
        <f>'P_L Variables'!F15*'P_L Variables'!F37</f>
        <v>19350</v>
      </c>
      <c r="AH10" s="25">
        <f>'P_L Variables'!G15*'P_L Variables'!G37</f>
        <v>19350</v>
      </c>
      <c r="AI10" s="25">
        <f>'P_L Variables'!H15*'P_L Variables'!H37</f>
        <v>19350</v>
      </c>
      <c r="AJ10" s="25">
        <f>'P_L Variables'!I15*'P_L Variables'!I37</f>
        <v>19350</v>
      </c>
      <c r="AK10" s="25">
        <f>'P_L Variables'!J15*'P_L Variables'!J37</f>
        <v>19350</v>
      </c>
      <c r="AL10" s="25">
        <f>'P_L Variables'!K15*'P_L Variables'!K37</f>
        <v>19350</v>
      </c>
      <c r="AM10" s="25">
        <f>'P_L Variables'!L15*'P_L Variables'!L37</f>
        <v>19350</v>
      </c>
      <c r="AN10" s="25">
        <f>'P_L Variables'!M15*'P_L Variables'!M37</f>
        <v>19350</v>
      </c>
      <c r="AO10" s="25">
        <f>'P_L Variables'!N15*'P_L Variables'!N37</f>
        <v>19350</v>
      </c>
      <c r="AP10" s="25">
        <f>'P_L Variables'!C16*'P_L Variables'!C38</f>
        <v>20900</v>
      </c>
      <c r="AQ10" s="25">
        <f>'P_L Variables'!D16*'P_L Variables'!D38</f>
        <v>20900</v>
      </c>
      <c r="AR10" s="25">
        <f>'P_L Variables'!E16*'P_L Variables'!E38</f>
        <v>20900</v>
      </c>
      <c r="AS10" s="25">
        <f>'P_L Variables'!F16*'P_L Variables'!F38</f>
        <v>20900</v>
      </c>
      <c r="AT10" s="25">
        <f>'P_L Variables'!G16*'P_L Variables'!G38</f>
        <v>20900</v>
      </c>
      <c r="AU10" s="25">
        <f>'P_L Variables'!H16*'P_L Variables'!H38</f>
        <v>20900</v>
      </c>
      <c r="AV10" s="25">
        <f>'P_L Variables'!I16*'P_L Variables'!I38</f>
        <v>20900</v>
      </c>
      <c r="AW10" s="25">
        <f>'P_L Variables'!J16*'P_L Variables'!J38</f>
        <v>20900</v>
      </c>
      <c r="AX10" s="25">
        <f>'P_L Variables'!K16*'P_L Variables'!K38</f>
        <v>20900</v>
      </c>
      <c r="AY10" s="25">
        <f>'P_L Variables'!L16*'P_L Variables'!L38</f>
        <v>20900</v>
      </c>
      <c r="AZ10" s="25">
        <f>'P_L Variables'!M16*'P_L Variables'!M38</f>
        <v>20900</v>
      </c>
      <c r="BA10" s="25">
        <f>'P_L Variables'!N16*'P_L Variables'!N38</f>
        <v>20900</v>
      </c>
    </row>
    <row r="11" spans="1:53" x14ac:dyDescent="0.25">
      <c r="B11" s="1" t="s">
        <v>85</v>
      </c>
      <c r="C11" s="25">
        <f>'P_L Variables'!L23*'P_L Variables'!L45*2</f>
        <v>0</v>
      </c>
      <c r="D11" s="25">
        <f>'P_L Variables'!M23*'P_L Variables'!M45*2</f>
        <v>0</v>
      </c>
      <c r="E11" s="25">
        <f>F11/4</f>
        <v>125</v>
      </c>
      <c r="F11" s="25">
        <f>'P_L Variables'!C24*'P_L Variables'!C46</f>
        <v>500</v>
      </c>
      <c r="G11" s="25">
        <f>'P_L Variables'!D24*'P_L Variables'!D46</f>
        <v>500</v>
      </c>
      <c r="H11" s="25">
        <f>'P_L Variables'!E24*'P_L Variables'!E46</f>
        <v>1500</v>
      </c>
      <c r="I11" s="25">
        <f>'P_L Variables'!F24*'P_L Variables'!F46</f>
        <v>2500</v>
      </c>
      <c r="J11" s="25">
        <f>'P_L Variables'!G24*'P_L Variables'!G46</f>
        <v>2500</v>
      </c>
      <c r="K11" s="25">
        <f>'P_L Variables'!H24*'P_L Variables'!H46</f>
        <v>500</v>
      </c>
      <c r="L11" s="25">
        <f>'P_L Variables'!I24*'P_L Variables'!I46</f>
        <v>500</v>
      </c>
      <c r="M11" s="25">
        <f>'P_L Variables'!J24*'P_L Variables'!J46</f>
        <v>500</v>
      </c>
      <c r="N11" s="25">
        <f>'P_L Variables'!K24*'P_L Variables'!K46</f>
        <v>800</v>
      </c>
      <c r="O11" s="25">
        <f>'P_L Variables'!L24*'P_L Variables'!L46</f>
        <v>500</v>
      </c>
      <c r="P11" s="25">
        <f>'P_L Variables'!M24*'P_L Variables'!M46</f>
        <v>500</v>
      </c>
      <c r="Q11" s="25">
        <f>'P_L Variables'!N24*'P_L Variables'!N46</f>
        <v>500</v>
      </c>
      <c r="R11" s="25">
        <f>'P_L Variables'!C25*'P_L Variables'!C47</f>
        <v>825</v>
      </c>
      <c r="S11" s="25">
        <f>'P_L Variables'!D25*'P_L Variables'!D47</f>
        <v>825</v>
      </c>
      <c r="T11" s="25">
        <f>'P_L Variables'!E25*'P_L Variables'!E47</f>
        <v>1950</v>
      </c>
      <c r="U11" s="25">
        <f>'P_L Variables'!F25*'P_L Variables'!F47</f>
        <v>3150</v>
      </c>
      <c r="V11" s="25">
        <f>'P_L Variables'!G25*'P_L Variables'!G47</f>
        <v>3150</v>
      </c>
      <c r="W11" s="25">
        <f>'P_L Variables'!H25*'P_L Variables'!H47</f>
        <v>825</v>
      </c>
      <c r="X11" s="25">
        <f>'P_L Variables'!I25*'P_L Variables'!I47</f>
        <v>825</v>
      </c>
      <c r="Y11" s="25">
        <f>'P_L Variables'!J25*'P_L Variables'!J47</f>
        <v>825</v>
      </c>
      <c r="Z11" s="25">
        <f>'P_L Variables'!K25*'P_L Variables'!K47</f>
        <v>1100</v>
      </c>
      <c r="AA11" s="25">
        <f>'P_L Variables'!L25*'P_L Variables'!L47</f>
        <v>825</v>
      </c>
      <c r="AB11" s="25">
        <f>'P_L Variables'!M25*'P_L Variables'!M47</f>
        <v>825</v>
      </c>
      <c r="AC11" s="25">
        <f>'P_L Variables'!N25*'P_L Variables'!N47</f>
        <v>825</v>
      </c>
      <c r="AD11" s="25">
        <f>'P_L Variables'!C26*'P_L Variables'!C48</f>
        <v>1200</v>
      </c>
      <c r="AE11" s="25">
        <f>'P_L Variables'!D26*'P_L Variables'!D48</f>
        <v>1200</v>
      </c>
      <c r="AF11" s="25">
        <f>'P_L Variables'!E26*'P_L Variables'!E48</f>
        <v>2100</v>
      </c>
      <c r="AG11" s="25">
        <f>'P_L Variables'!F26*'P_L Variables'!F48</f>
        <v>3300</v>
      </c>
      <c r="AH11" s="25">
        <f>'P_L Variables'!G26*'P_L Variables'!G48</f>
        <v>3300</v>
      </c>
      <c r="AI11" s="25">
        <f>'P_L Variables'!H26*'P_L Variables'!H48</f>
        <v>900</v>
      </c>
      <c r="AJ11" s="25">
        <f>'P_L Variables'!I26*'P_L Variables'!I48</f>
        <v>900</v>
      </c>
      <c r="AK11" s="25">
        <f>'P_L Variables'!J26*'P_L Variables'!J48</f>
        <v>900</v>
      </c>
      <c r="AL11" s="25">
        <f>'P_L Variables'!K26*'P_L Variables'!K48</f>
        <v>1200</v>
      </c>
      <c r="AM11" s="25">
        <f>'P_L Variables'!L26*'P_L Variables'!L48</f>
        <v>900</v>
      </c>
      <c r="AN11" s="25">
        <f>'P_L Variables'!M26*'P_L Variables'!M48</f>
        <v>900</v>
      </c>
      <c r="AO11" s="25">
        <f>'P_L Variables'!N26*'P_L Variables'!N48</f>
        <v>900</v>
      </c>
      <c r="AP11" s="25">
        <f>'P_L Variables'!C27*'P_L Variables'!C49</f>
        <v>1500</v>
      </c>
      <c r="AQ11" s="25">
        <f>'P_L Variables'!D27*'P_L Variables'!D49</f>
        <v>1200</v>
      </c>
      <c r="AR11" s="25">
        <f>'P_L Variables'!E27*'P_L Variables'!E49</f>
        <v>2100</v>
      </c>
      <c r="AS11" s="25">
        <f>'P_L Variables'!F27*'P_L Variables'!F49</f>
        <v>3300</v>
      </c>
      <c r="AT11" s="25">
        <f>'P_L Variables'!G27*'P_L Variables'!G49</f>
        <v>3300</v>
      </c>
      <c r="AU11" s="25">
        <f>'P_L Variables'!H27*'P_L Variables'!H49</f>
        <v>975</v>
      </c>
      <c r="AV11" s="25">
        <f>'P_L Variables'!I27*'P_L Variables'!I49</f>
        <v>975</v>
      </c>
      <c r="AW11" s="25">
        <f>'P_L Variables'!J27*'P_L Variables'!J49</f>
        <v>900</v>
      </c>
      <c r="AX11" s="25">
        <f>'P_L Variables'!K27*'P_L Variables'!K49</f>
        <v>1200</v>
      </c>
      <c r="AY11" s="25">
        <f>'P_L Variables'!L27*'P_L Variables'!L49</f>
        <v>900</v>
      </c>
      <c r="AZ11" s="25">
        <f>'P_L Variables'!M27*'P_L Variables'!M49</f>
        <v>900</v>
      </c>
      <c r="BA11" s="25">
        <f>'P_L Variables'!N27*'P_L Variables'!N49</f>
        <v>900</v>
      </c>
    </row>
    <row r="12" spans="1:53" x14ac:dyDescent="0.25">
      <c r="C12" s="28">
        <f t="shared" ref="C12:AH12" si="0">SUM(C10:C11)</f>
        <v>0</v>
      </c>
      <c r="D12" s="28">
        <f t="shared" si="0"/>
        <v>0</v>
      </c>
      <c r="E12" s="28">
        <f t="shared" si="0"/>
        <v>4225</v>
      </c>
      <c r="F12" s="28">
        <f t="shared" si="0"/>
        <v>16900</v>
      </c>
      <c r="G12" s="28">
        <f t="shared" si="0"/>
        <v>16900</v>
      </c>
      <c r="H12" s="28">
        <f t="shared" si="0"/>
        <v>17900</v>
      </c>
      <c r="I12" s="28">
        <f t="shared" si="0"/>
        <v>18900</v>
      </c>
      <c r="J12" s="28">
        <f t="shared" si="0"/>
        <v>18900</v>
      </c>
      <c r="K12" s="28">
        <f t="shared" si="0"/>
        <v>16900</v>
      </c>
      <c r="L12" s="28">
        <f t="shared" si="0"/>
        <v>16900</v>
      </c>
      <c r="M12" s="28">
        <f t="shared" si="0"/>
        <v>16900</v>
      </c>
      <c r="N12" s="28">
        <f t="shared" si="0"/>
        <v>17200</v>
      </c>
      <c r="O12" s="28">
        <f t="shared" si="0"/>
        <v>16900</v>
      </c>
      <c r="P12" s="28">
        <f t="shared" si="0"/>
        <v>16900</v>
      </c>
      <c r="Q12" s="28">
        <f t="shared" si="0"/>
        <v>16900</v>
      </c>
      <c r="R12" s="28">
        <f t="shared" si="0"/>
        <v>18675</v>
      </c>
      <c r="S12" s="28">
        <f t="shared" si="0"/>
        <v>18675</v>
      </c>
      <c r="T12" s="28">
        <f t="shared" si="0"/>
        <v>19800</v>
      </c>
      <c r="U12" s="28">
        <f t="shared" si="0"/>
        <v>21000</v>
      </c>
      <c r="V12" s="28">
        <f t="shared" si="0"/>
        <v>21000</v>
      </c>
      <c r="W12" s="28">
        <f t="shared" si="0"/>
        <v>18675</v>
      </c>
      <c r="X12" s="28">
        <f t="shared" si="0"/>
        <v>18675</v>
      </c>
      <c r="Y12" s="28">
        <f t="shared" si="0"/>
        <v>18675</v>
      </c>
      <c r="Z12" s="28">
        <f t="shared" si="0"/>
        <v>18950</v>
      </c>
      <c r="AA12" s="28">
        <f t="shared" si="0"/>
        <v>18675</v>
      </c>
      <c r="AB12" s="28">
        <f t="shared" si="0"/>
        <v>18675</v>
      </c>
      <c r="AC12" s="28">
        <f t="shared" si="0"/>
        <v>18675</v>
      </c>
      <c r="AD12" s="28">
        <f t="shared" si="0"/>
        <v>20550</v>
      </c>
      <c r="AE12" s="28">
        <f t="shared" si="0"/>
        <v>20550</v>
      </c>
      <c r="AF12" s="28">
        <f t="shared" si="0"/>
        <v>21450</v>
      </c>
      <c r="AG12" s="28">
        <f t="shared" si="0"/>
        <v>22650</v>
      </c>
      <c r="AH12" s="28">
        <f t="shared" si="0"/>
        <v>22650</v>
      </c>
      <c r="AI12" s="28">
        <f t="shared" ref="AI12:BA12" si="1">SUM(AI10:AI11)</f>
        <v>20250</v>
      </c>
      <c r="AJ12" s="28">
        <f t="shared" si="1"/>
        <v>20250</v>
      </c>
      <c r="AK12" s="28">
        <f t="shared" si="1"/>
        <v>20250</v>
      </c>
      <c r="AL12" s="28">
        <f t="shared" si="1"/>
        <v>20550</v>
      </c>
      <c r="AM12" s="28">
        <f t="shared" si="1"/>
        <v>20250</v>
      </c>
      <c r="AN12" s="28">
        <f t="shared" si="1"/>
        <v>20250</v>
      </c>
      <c r="AO12" s="28">
        <f t="shared" si="1"/>
        <v>20250</v>
      </c>
      <c r="AP12" s="28">
        <f t="shared" si="1"/>
        <v>22400</v>
      </c>
      <c r="AQ12" s="28">
        <f t="shared" si="1"/>
        <v>22100</v>
      </c>
      <c r="AR12" s="28">
        <f t="shared" si="1"/>
        <v>23000</v>
      </c>
      <c r="AS12" s="28">
        <f t="shared" si="1"/>
        <v>24200</v>
      </c>
      <c r="AT12" s="28">
        <f t="shared" si="1"/>
        <v>24200</v>
      </c>
      <c r="AU12" s="28">
        <f t="shared" si="1"/>
        <v>21875</v>
      </c>
      <c r="AV12" s="28">
        <f t="shared" si="1"/>
        <v>21875</v>
      </c>
      <c r="AW12" s="28">
        <f t="shared" si="1"/>
        <v>21800</v>
      </c>
      <c r="AX12" s="28">
        <f t="shared" si="1"/>
        <v>22100</v>
      </c>
      <c r="AY12" s="28">
        <f t="shared" si="1"/>
        <v>21800</v>
      </c>
      <c r="AZ12" s="28">
        <f t="shared" si="1"/>
        <v>21800</v>
      </c>
      <c r="BA12" s="28">
        <f t="shared" si="1"/>
        <v>21800</v>
      </c>
    </row>
    <row r="13" spans="1:53" ht="13" x14ac:dyDescent="0.3">
      <c r="B13" s="2" t="s">
        <v>86</v>
      </c>
    </row>
    <row r="14" spans="1:53" x14ac:dyDescent="0.25">
      <c r="B14" s="1" t="s">
        <v>84</v>
      </c>
      <c r="C14" s="25">
        <f>'P_L Variables'!L59*'P_L Variables'!L81*2</f>
        <v>0</v>
      </c>
      <c r="D14" s="25">
        <f>'P_L Variables'!M59*'P_L Variables'!M81*2</f>
        <v>0</v>
      </c>
      <c r="E14" s="25">
        <f>F14/4</f>
        <v>4100</v>
      </c>
      <c r="F14" s="25">
        <f>'P_L Variables'!C60*'P_L Variables'!C82</f>
        <v>16400</v>
      </c>
      <c r="G14" s="25">
        <f>'P_L Variables'!D60*'P_L Variables'!D82</f>
        <v>16400</v>
      </c>
      <c r="H14" s="25">
        <f>'P_L Variables'!E60*'P_L Variables'!E82</f>
        <v>16400</v>
      </c>
      <c r="I14" s="25">
        <f>'P_L Variables'!F60*'P_L Variables'!F82</f>
        <v>16400</v>
      </c>
      <c r="J14" s="25">
        <f>'P_L Variables'!G60*'P_L Variables'!G82</f>
        <v>16400</v>
      </c>
      <c r="K14" s="25">
        <f>'P_L Variables'!H60*'P_L Variables'!H82</f>
        <v>16400</v>
      </c>
      <c r="L14" s="25">
        <f>'P_L Variables'!I60*'P_L Variables'!I82</f>
        <v>16400</v>
      </c>
      <c r="M14" s="25">
        <f>'P_L Variables'!J60*'P_L Variables'!J82</f>
        <v>16400</v>
      </c>
      <c r="N14" s="25">
        <f>'P_L Variables'!K60*'P_L Variables'!K82</f>
        <v>16400</v>
      </c>
      <c r="O14" s="25">
        <f>'P_L Variables'!L60*'P_L Variables'!L82</f>
        <v>16400</v>
      </c>
      <c r="P14" s="25">
        <f>'P_L Variables'!M60*'P_L Variables'!M82</f>
        <v>16400</v>
      </c>
      <c r="Q14" s="25">
        <f>'P_L Variables'!N60*'P_L Variables'!N82</f>
        <v>16400</v>
      </c>
      <c r="R14" s="25">
        <f>'P_L Variables'!C61*'P_L Variables'!C83</f>
        <v>16800</v>
      </c>
      <c r="S14" s="25">
        <f>'P_L Variables'!D61*'P_L Variables'!D83</f>
        <v>16800</v>
      </c>
      <c r="T14" s="25">
        <f>'P_L Variables'!E61*'P_L Variables'!E83</f>
        <v>16800</v>
      </c>
      <c r="U14" s="25">
        <f>'P_L Variables'!F61*'P_L Variables'!F83</f>
        <v>16800</v>
      </c>
      <c r="V14" s="25">
        <f>'P_L Variables'!G61*'P_L Variables'!G83</f>
        <v>16800</v>
      </c>
      <c r="W14" s="25">
        <f>'P_L Variables'!H61*'P_L Variables'!H83</f>
        <v>16800</v>
      </c>
      <c r="X14" s="25">
        <f>'P_L Variables'!I61*'P_L Variables'!I83</f>
        <v>16800</v>
      </c>
      <c r="Y14" s="25">
        <f>'P_L Variables'!J61*'P_L Variables'!J83</f>
        <v>16800</v>
      </c>
      <c r="Z14" s="25">
        <f>'P_L Variables'!K61*'P_L Variables'!K83</f>
        <v>16800</v>
      </c>
      <c r="AA14" s="25">
        <f>'P_L Variables'!L61*'P_L Variables'!L83</f>
        <v>16800</v>
      </c>
      <c r="AB14" s="25">
        <f>'P_L Variables'!M61*'P_L Variables'!M83</f>
        <v>16800</v>
      </c>
      <c r="AC14" s="25">
        <f>'P_L Variables'!N61*'P_L Variables'!N83</f>
        <v>16800</v>
      </c>
      <c r="AD14" s="25">
        <f>'P_L Variables'!C62*'P_L Variables'!C84</f>
        <v>17200</v>
      </c>
      <c r="AE14" s="25">
        <f>'P_L Variables'!D62*'P_L Variables'!D84</f>
        <v>17200</v>
      </c>
      <c r="AF14" s="25">
        <f>'P_L Variables'!E62*'P_L Variables'!E84</f>
        <v>17200</v>
      </c>
      <c r="AG14" s="25">
        <f>'P_L Variables'!F62*'P_L Variables'!F84</f>
        <v>17200</v>
      </c>
      <c r="AH14" s="25">
        <f>'P_L Variables'!G62*'P_L Variables'!G84</f>
        <v>17200</v>
      </c>
      <c r="AI14" s="25">
        <f>'P_L Variables'!H62*'P_L Variables'!H84</f>
        <v>17200</v>
      </c>
      <c r="AJ14" s="25">
        <f>'P_L Variables'!I62*'P_L Variables'!I84</f>
        <v>17200</v>
      </c>
      <c r="AK14" s="25">
        <f>'P_L Variables'!J62*'P_L Variables'!J84</f>
        <v>17200</v>
      </c>
      <c r="AL14" s="25">
        <f>'P_L Variables'!K62*'P_L Variables'!K84</f>
        <v>17200</v>
      </c>
      <c r="AM14" s="25">
        <f>'P_L Variables'!L62*'P_L Variables'!L84</f>
        <v>17200</v>
      </c>
      <c r="AN14" s="25">
        <f>'P_L Variables'!M62*'P_L Variables'!M84</f>
        <v>17200</v>
      </c>
      <c r="AO14" s="25">
        <f>'P_L Variables'!N62*'P_L Variables'!N84</f>
        <v>17200</v>
      </c>
      <c r="AP14" s="25">
        <f>'P_L Variables'!C63*'P_L Variables'!C85</f>
        <v>17600</v>
      </c>
      <c r="AQ14" s="25">
        <f>'P_L Variables'!D63*'P_L Variables'!D85</f>
        <v>17600</v>
      </c>
      <c r="AR14" s="25">
        <f>'P_L Variables'!E63*'P_L Variables'!E85</f>
        <v>17600</v>
      </c>
      <c r="AS14" s="25">
        <f>'P_L Variables'!F63*'P_L Variables'!F85</f>
        <v>17600</v>
      </c>
      <c r="AT14" s="25">
        <f>'P_L Variables'!G63*'P_L Variables'!G85</f>
        <v>17600</v>
      </c>
      <c r="AU14" s="25">
        <f>'P_L Variables'!H63*'P_L Variables'!H85</f>
        <v>17600</v>
      </c>
      <c r="AV14" s="25">
        <f>'P_L Variables'!I63*'P_L Variables'!I85</f>
        <v>17600</v>
      </c>
      <c r="AW14" s="25">
        <f>'P_L Variables'!J63*'P_L Variables'!J85</f>
        <v>17600</v>
      </c>
      <c r="AX14" s="25">
        <f>'P_L Variables'!K63*'P_L Variables'!K85</f>
        <v>17600</v>
      </c>
      <c r="AY14" s="25">
        <f>'P_L Variables'!L63*'P_L Variables'!L85</f>
        <v>17600</v>
      </c>
      <c r="AZ14" s="25">
        <f>'P_L Variables'!M63*'P_L Variables'!M85</f>
        <v>17600</v>
      </c>
      <c r="BA14" s="25">
        <f>'P_L Variables'!N63*'P_L Variables'!N85</f>
        <v>17600</v>
      </c>
    </row>
    <row r="15" spans="1:53" x14ac:dyDescent="0.25">
      <c r="B15" s="1" t="s">
        <v>85</v>
      </c>
      <c r="C15" s="25">
        <f>'P_L Variables'!L92*'P_L Variables'!L70*2</f>
        <v>0</v>
      </c>
      <c r="D15" s="25">
        <f>'P_L Variables'!M92*'P_L Variables'!M70*2</f>
        <v>0</v>
      </c>
      <c r="E15" s="25">
        <f>F15/4</f>
        <v>125</v>
      </c>
      <c r="F15" s="25">
        <f>'P_L Variables'!C71*'P_L Variables'!C93</f>
        <v>500</v>
      </c>
      <c r="G15" s="25">
        <f>'P_L Variables'!D71*'P_L Variables'!D93</f>
        <v>500</v>
      </c>
      <c r="H15" s="25">
        <f>'P_L Variables'!E71*'P_L Variables'!E93</f>
        <v>1500</v>
      </c>
      <c r="I15" s="25">
        <f>'P_L Variables'!F71*'P_L Variables'!F93</f>
        <v>2500</v>
      </c>
      <c r="J15" s="25">
        <f>'P_L Variables'!G71*'P_L Variables'!G93</f>
        <v>2500</v>
      </c>
      <c r="K15" s="25">
        <f>'P_L Variables'!H71*'P_L Variables'!H93</f>
        <v>500</v>
      </c>
      <c r="L15" s="25">
        <f>'P_L Variables'!I71*'P_L Variables'!I93</f>
        <v>500</v>
      </c>
      <c r="M15" s="25">
        <f>'P_L Variables'!J71*'P_L Variables'!J93</f>
        <v>500</v>
      </c>
      <c r="N15" s="25">
        <f>'P_L Variables'!K71*'P_L Variables'!K93</f>
        <v>800</v>
      </c>
      <c r="O15" s="25">
        <f>'P_L Variables'!L71*'P_L Variables'!L93</f>
        <v>500</v>
      </c>
      <c r="P15" s="25">
        <f>'P_L Variables'!M71*'P_L Variables'!M93</f>
        <v>500</v>
      </c>
      <c r="Q15" s="25">
        <f>'P_L Variables'!N71*'P_L Variables'!N93</f>
        <v>500</v>
      </c>
      <c r="R15" s="25">
        <f>'P_L Variables'!C72*'P_L Variables'!C94</f>
        <v>825</v>
      </c>
      <c r="S15" s="25">
        <f>'P_L Variables'!D72*'P_L Variables'!D94</f>
        <v>825</v>
      </c>
      <c r="T15" s="25">
        <f>'P_L Variables'!E72*'P_L Variables'!E94</f>
        <v>1950</v>
      </c>
      <c r="U15" s="25">
        <f>'P_L Variables'!F72*'P_L Variables'!F94</f>
        <v>3150</v>
      </c>
      <c r="V15" s="25">
        <f>'P_L Variables'!G72*'P_L Variables'!G94</f>
        <v>3150</v>
      </c>
      <c r="W15" s="25">
        <f>'P_L Variables'!H72*'P_L Variables'!H94</f>
        <v>825</v>
      </c>
      <c r="X15" s="25">
        <f>'P_L Variables'!I72*'P_L Variables'!I94</f>
        <v>825</v>
      </c>
      <c r="Y15" s="25">
        <f>'P_L Variables'!J72*'P_L Variables'!J94</f>
        <v>825</v>
      </c>
      <c r="Z15" s="25">
        <f>'P_L Variables'!K72*'P_L Variables'!K94</f>
        <v>1100</v>
      </c>
      <c r="AA15" s="25">
        <f>'P_L Variables'!L72*'P_L Variables'!L94</f>
        <v>825</v>
      </c>
      <c r="AB15" s="25">
        <f>'P_L Variables'!M72*'P_L Variables'!M94</f>
        <v>825</v>
      </c>
      <c r="AC15" s="25">
        <f>'P_L Variables'!N72*'P_L Variables'!N94</f>
        <v>825</v>
      </c>
      <c r="AD15" s="25">
        <f>'P_L Variables'!C73*'P_L Variables'!C95</f>
        <v>1200</v>
      </c>
      <c r="AE15" s="25">
        <f>'P_L Variables'!D73*'P_L Variables'!D95</f>
        <v>1200</v>
      </c>
      <c r="AF15" s="25">
        <f>'P_L Variables'!E73*'P_L Variables'!E95</f>
        <v>2100</v>
      </c>
      <c r="AG15" s="25">
        <f>'P_L Variables'!F73*'P_L Variables'!F95</f>
        <v>3300</v>
      </c>
      <c r="AH15" s="25">
        <f>'P_L Variables'!G73*'P_L Variables'!G95</f>
        <v>3300</v>
      </c>
      <c r="AI15" s="25">
        <f>'P_L Variables'!H73*'P_L Variables'!H95</f>
        <v>900</v>
      </c>
      <c r="AJ15" s="25">
        <f>'P_L Variables'!I73*'P_L Variables'!I95</f>
        <v>900</v>
      </c>
      <c r="AK15" s="25">
        <f>'P_L Variables'!J73*'P_L Variables'!J95</f>
        <v>900</v>
      </c>
      <c r="AL15" s="25">
        <f>'P_L Variables'!K73*'P_L Variables'!K95</f>
        <v>1200</v>
      </c>
      <c r="AM15" s="25">
        <f>'P_L Variables'!L73*'P_L Variables'!L95</f>
        <v>900</v>
      </c>
      <c r="AN15" s="25">
        <f>'P_L Variables'!M73*'P_L Variables'!M95</f>
        <v>900</v>
      </c>
      <c r="AO15" s="25">
        <f>'P_L Variables'!N73*'P_L Variables'!N95</f>
        <v>900</v>
      </c>
      <c r="AP15" s="25">
        <f>'P_L Variables'!C74*'P_L Variables'!C96</f>
        <v>1500</v>
      </c>
      <c r="AQ15" s="25">
        <f>'P_L Variables'!D74*'P_L Variables'!D96</f>
        <v>1200</v>
      </c>
      <c r="AR15" s="25">
        <f>'P_L Variables'!E74*'P_L Variables'!E96</f>
        <v>2100</v>
      </c>
      <c r="AS15" s="25">
        <f>'P_L Variables'!F74*'P_L Variables'!F96</f>
        <v>3300</v>
      </c>
      <c r="AT15" s="25">
        <f>'P_L Variables'!G74*'P_L Variables'!G96</f>
        <v>3300</v>
      </c>
      <c r="AU15" s="25">
        <f>'P_L Variables'!H74*'P_L Variables'!H96</f>
        <v>975</v>
      </c>
      <c r="AV15" s="25">
        <f>'P_L Variables'!I74*'P_L Variables'!I96</f>
        <v>975</v>
      </c>
      <c r="AW15" s="25">
        <f>'P_L Variables'!J74*'P_L Variables'!J96</f>
        <v>900</v>
      </c>
      <c r="AX15" s="25">
        <f>'P_L Variables'!K74*'P_L Variables'!K96</f>
        <v>1200</v>
      </c>
      <c r="AY15" s="25">
        <f>'P_L Variables'!L74*'P_L Variables'!L96</f>
        <v>900</v>
      </c>
      <c r="AZ15" s="25">
        <f>'P_L Variables'!M74*'P_L Variables'!M96</f>
        <v>900</v>
      </c>
      <c r="BA15" s="25">
        <f>'P_L Variables'!N74*'P_L Variables'!N96</f>
        <v>900</v>
      </c>
    </row>
    <row r="16" spans="1:53" x14ac:dyDescent="0.25">
      <c r="C16" s="28">
        <f t="shared" ref="C16:AH16" si="2">SUM(C14:C15)</f>
        <v>0</v>
      </c>
      <c r="D16" s="28">
        <f t="shared" si="2"/>
        <v>0</v>
      </c>
      <c r="E16" s="28">
        <f t="shared" si="2"/>
        <v>4225</v>
      </c>
      <c r="F16" s="28">
        <f t="shared" si="2"/>
        <v>16900</v>
      </c>
      <c r="G16" s="28">
        <f t="shared" si="2"/>
        <v>16900</v>
      </c>
      <c r="H16" s="28">
        <f t="shared" si="2"/>
        <v>17900</v>
      </c>
      <c r="I16" s="28">
        <f t="shared" si="2"/>
        <v>18900</v>
      </c>
      <c r="J16" s="28">
        <f t="shared" si="2"/>
        <v>18900</v>
      </c>
      <c r="K16" s="28">
        <f t="shared" si="2"/>
        <v>16900</v>
      </c>
      <c r="L16" s="28">
        <f t="shared" si="2"/>
        <v>16900</v>
      </c>
      <c r="M16" s="28">
        <f t="shared" si="2"/>
        <v>16900</v>
      </c>
      <c r="N16" s="28">
        <f t="shared" si="2"/>
        <v>17200</v>
      </c>
      <c r="O16" s="28">
        <f t="shared" si="2"/>
        <v>16900</v>
      </c>
      <c r="P16" s="28">
        <f t="shared" si="2"/>
        <v>16900</v>
      </c>
      <c r="Q16" s="28">
        <f t="shared" si="2"/>
        <v>16900</v>
      </c>
      <c r="R16" s="28">
        <f t="shared" si="2"/>
        <v>17625</v>
      </c>
      <c r="S16" s="28">
        <f t="shared" si="2"/>
        <v>17625</v>
      </c>
      <c r="T16" s="28">
        <f t="shared" si="2"/>
        <v>18750</v>
      </c>
      <c r="U16" s="28">
        <f t="shared" si="2"/>
        <v>19950</v>
      </c>
      <c r="V16" s="28">
        <f t="shared" si="2"/>
        <v>19950</v>
      </c>
      <c r="W16" s="28">
        <f t="shared" si="2"/>
        <v>17625</v>
      </c>
      <c r="X16" s="28">
        <f t="shared" si="2"/>
        <v>17625</v>
      </c>
      <c r="Y16" s="28">
        <f t="shared" si="2"/>
        <v>17625</v>
      </c>
      <c r="Z16" s="28">
        <f t="shared" si="2"/>
        <v>17900</v>
      </c>
      <c r="AA16" s="28">
        <f t="shared" si="2"/>
        <v>17625</v>
      </c>
      <c r="AB16" s="28">
        <f t="shared" si="2"/>
        <v>17625</v>
      </c>
      <c r="AC16" s="28">
        <f t="shared" si="2"/>
        <v>17625</v>
      </c>
      <c r="AD16" s="28">
        <f t="shared" si="2"/>
        <v>18400</v>
      </c>
      <c r="AE16" s="28">
        <f t="shared" si="2"/>
        <v>18400</v>
      </c>
      <c r="AF16" s="28">
        <f t="shared" si="2"/>
        <v>19300</v>
      </c>
      <c r="AG16" s="28">
        <f t="shared" si="2"/>
        <v>20500</v>
      </c>
      <c r="AH16" s="28">
        <f t="shared" si="2"/>
        <v>20500</v>
      </c>
      <c r="AI16" s="28">
        <f t="shared" ref="AI16:BA16" si="3">SUM(AI14:AI15)</f>
        <v>18100</v>
      </c>
      <c r="AJ16" s="28">
        <f t="shared" si="3"/>
        <v>18100</v>
      </c>
      <c r="AK16" s="28">
        <f t="shared" si="3"/>
        <v>18100</v>
      </c>
      <c r="AL16" s="28">
        <f t="shared" si="3"/>
        <v>18400</v>
      </c>
      <c r="AM16" s="28">
        <f t="shared" si="3"/>
        <v>18100</v>
      </c>
      <c r="AN16" s="28">
        <f t="shared" si="3"/>
        <v>18100</v>
      </c>
      <c r="AO16" s="28">
        <f t="shared" si="3"/>
        <v>18100</v>
      </c>
      <c r="AP16" s="28">
        <f t="shared" si="3"/>
        <v>19100</v>
      </c>
      <c r="AQ16" s="28">
        <f t="shared" si="3"/>
        <v>18800</v>
      </c>
      <c r="AR16" s="28">
        <f t="shared" si="3"/>
        <v>19700</v>
      </c>
      <c r="AS16" s="28">
        <f t="shared" si="3"/>
        <v>20900</v>
      </c>
      <c r="AT16" s="28">
        <f t="shared" si="3"/>
        <v>20900</v>
      </c>
      <c r="AU16" s="28">
        <f t="shared" si="3"/>
        <v>18575</v>
      </c>
      <c r="AV16" s="28">
        <f t="shared" si="3"/>
        <v>18575</v>
      </c>
      <c r="AW16" s="28">
        <f t="shared" si="3"/>
        <v>18500</v>
      </c>
      <c r="AX16" s="28">
        <f t="shared" si="3"/>
        <v>18800</v>
      </c>
      <c r="AY16" s="28">
        <f t="shared" si="3"/>
        <v>18500</v>
      </c>
      <c r="AZ16" s="28">
        <f t="shared" si="3"/>
        <v>18500</v>
      </c>
      <c r="BA16" s="28">
        <f t="shared" si="3"/>
        <v>18500</v>
      </c>
    </row>
    <row r="17" spans="2:53" x14ac:dyDescent="0.25">
      <c r="B17" s="1" t="s">
        <v>87</v>
      </c>
      <c r="C17" s="29">
        <f>'P_L Variables'!L103</f>
        <v>0</v>
      </c>
      <c r="D17" s="29">
        <f>'P_L Variables'!M103</f>
        <v>0</v>
      </c>
      <c r="E17" s="29">
        <f>'P_L Variables'!N103</f>
        <v>0</v>
      </c>
      <c r="F17" s="29">
        <f>'P_L Variables'!C104</f>
        <v>1</v>
      </c>
      <c r="G17" s="29">
        <f>'P_L Variables'!D104</f>
        <v>1</v>
      </c>
      <c r="H17" s="29">
        <f>'P_L Variables'!E104</f>
        <v>1</v>
      </c>
      <c r="I17" s="29">
        <f>'P_L Variables'!F104</f>
        <v>1</v>
      </c>
      <c r="J17" s="29">
        <f>'P_L Variables'!G104</f>
        <v>1</v>
      </c>
      <c r="K17" s="29">
        <f>'P_L Variables'!H104</f>
        <v>1</v>
      </c>
      <c r="L17" s="29">
        <f>'P_L Variables'!I104</f>
        <v>1</v>
      </c>
      <c r="M17" s="29">
        <f>'P_L Variables'!J104</f>
        <v>1</v>
      </c>
      <c r="N17" s="29">
        <f>'P_L Variables'!K104</f>
        <v>1</v>
      </c>
      <c r="O17" s="29">
        <f>'P_L Variables'!L104</f>
        <v>1</v>
      </c>
      <c r="P17" s="29">
        <f>'P_L Variables'!M104</f>
        <v>1</v>
      </c>
      <c r="Q17" s="29">
        <f>'P_L Variables'!N104</f>
        <v>1</v>
      </c>
      <c r="R17" s="29">
        <f>'P_L Variables'!C105</f>
        <v>1</v>
      </c>
      <c r="S17" s="29">
        <f>'P_L Variables'!D105</f>
        <v>1</v>
      </c>
      <c r="T17" s="29">
        <f>'P_L Variables'!E105</f>
        <v>1</v>
      </c>
      <c r="U17" s="29">
        <f>'P_L Variables'!F105</f>
        <v>1</v>
      </c>
      <c r="V17" s="29">
        <f>'P_L Variables'!G105</f>
        <v>1</v>
      </c>
      <c r="W17" s="29">
        <f>'P_L Variables'!H105</f>
        <v>1</v>
      </c>
      <c r="X17" s="29">
        <f>'P_L Variables'!I105</f>
        <v>1</v>
      </c>
      <c r="Y17" s="29">
        <f>'P_L Variables'!J105</f>
        <v>1</v>
      </c>
      <c r="Z17" s="29">
        <f>'P_L Variables'!K105</f>
        <v>1</v>
      </c>
      <c r="AA17" s="29">
        <f>'P_L Variables'!L105</f>
        <v>1</v>
      </c>
      <c r="AB17" s="29">
        <f>'P_L Variables'!M105</f>
        <v>1</v>
      </c>
      <c r="AC17" s="29">
        <f>'P_L Variables'!N105</f>
        <v>1</v>
      </c>
      <c r="AD17" s="29">
        <f>'P_L Variables'!C106</f>
        <v>1</v>
      </c>
      <c r="AE17" s="29">
        <f>'P_L Variables'!D106</f>
        <v>1</v>
      </c>
      <c r="AF17" s="29">
        <f>'P_L Variables'!E106</f>
        <v>1</v>
      </c>
      <c r="AG17" s="29">
        <f>'P_L Variables'!F106</f>
        <v>1</v>
      </c>
      <c r="AH17" s="29">
        <f>'P_L Variables'!G106</f>
        <v>1</v>
      </c>
      <c r="AI17" s="29">
        <f>'P_L Variables'!H106</f>
        <v>1</v>
      </c>
      <c r="AJ17" s="29">
        <f>'P_L Variables'!I106</f>
        <v>1</v>
      </c>
      <c r="AK17" s="29">
        <f>'P_L Variables'!J106</f>
        <v>1</v>
      </c>
      <c r="AL17" s="29">
        <f>'P_L Variables'!K106</f>
        <v>1</v>
      </c>
      <c r="AM17" s="29">
        <f>'P_L Variables'!L106</f>
        <v>1</v>
      </c>
      <c r="AN17" s="29">
        <f>'P_L Variables'!M106</f>
        <v>1</v>
      </c>
      <c r="AO17" s="29">
        <f>'P_L Variables'!N106</f>
        <v>1</v>
      </c>
      <c r="AP17" s="29">
        <f>'P_L Variables'!C107</f>
        <v>1</v>
      </c>
      <c r="AQ17" s="29">
        <f>'P_L Variables'!D107</f>
        <v>1</v>
      </c>
      <c r="AR17" s="29">
        <f>'P_L Variables'!E107</f>
        <v>1</v>
      </c>
      <c r="AS17" s="29">
        <f>'P_L Variables'!F107</f>
        <v>1</v>
      </c>
      <c r="AT17" s="29">
        <f>'P_L Variables'!G107</f>
        <v>1</v>
      </c>
      <c r="AU17" s="29">
        <f>'P_L Variables'!H107</f>
        <v>1</v>
      </c>
      <c r="AV17" s="29">
        <f>'P_L Variables'!I107</f>
        <v>1</v>
      </c>
      <c r="AW17" s="29">
        <f>'P_L Variables'!J107</f>
        <v>1</v>
      </c>
      <c r="AX17" s="29">
        <f>'P_L Variables'!K107</f>
        <v>1</v>
      </c>
      <c r="AY17" s="29">
        <f>'P_L Variables'!L107</f>
        <v>1</v>
      </c>
      <c r="AZ17" s="29">
        <f>'P_L Variables'!M107</f>
        <v>1</v>
      </c>
      <c r="BA17" s="29">
        <f>'P_L Variables'!N107</f>
        <v>1</v>
      </c>
    </row>
    <row r="18" spans="2:53" x14ac:dyDescent="0.25"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</row>
    <row r="19" spans="2:53" ht="13" x14ac:dyDescent="0.3">
      <c r="B19" s="2" t="s">
        <v>88</v>
      </c>
    </row>
    <row r="20" spans="2:53" x14ac:dyDescent="0.25">
      <c r="B20" s="1" t="s">
        <v>84</v>
      </c>
      <c r="C20" s="25">
        <f>'P_L Variables'!L64*'P_L Variables'!L86*2</f>
        <v>0</v>
      </c>
      <c r="D20" s="25">
        <f>'P_L Variables'!M64*'P_L Variables'!M86*2</f>
        <v>0</v>
      </c>
      <c r="E20" s="25">
        <f>F20/4</f>
        <v>4000</v>
      </c>
      <c r="F20" s="25">
        <f>'P_L Variables'!C117*'P_L Variables'!C139</f>
        <v>16000</v>
      </c>
      <c r="G20" s="25">
        <f>'P_L Variables'!D117*'P_L Variables'!D139</f>
        <v>16000</v>
      </c>
      <c r="H20" s="25">
        <f>'P_L Variables'!E117*'P_L Variables'!E139</f>
        <v>16000</v>
      </c>
      <c r="I20" s="25">
        <f>'P_L Variables'!F117*'P_L Variables'!F139</f>
        <v>16000</v>
      </c>
      <c r="J20" s="25">
        <f>'P_L Variables'!G117*'P_L Variables'!G139</f>
        <v>16000</v>
      </c>
      <c r="K20" s="25">
        <f>'P_L Variables'!H117*'P_L Variables'!H139</f>
        <v>16000</v>
      </c>
      <c r="L20" s="25">
        <f>'P_L Variables'!I117*'P_L Variables'!I139</f>
        <v>16000</v>
      </c>
      <c r="M20" s="25">
        <f>'P_L Variables'!J117*'P_L Variables'!J139</f>
        <v>16000</v>
      </c>
      <c r="N20" s="25">
        <f>'P_L Variables'!K117*'P_L Variables'!K139</f>
        <v>16000</v>
      </c>
      <c r="O20" s="25">
        <f>'P_L Variables'!L117*'P_L Variables'!L139</f>
        <v>16000</v>
      </c>
      <c r="P20" s="25">
        <f>'P_L Variables'!M117*'P_L Variables'!M139</f>
        <v>16000</v>
      </c>
      <c r="Q20" s="25">
        <f>'P_L Variables'!N117*'P_L Variables'!N139</f>
        <v>16000</v>
      </c>
      <c r="R20" s="25">
        <f>'P_L Variables'!C118*'P_L Variables'!C140</f>
        <v>16000</v>
      </c>
      <c r="S20" s="25">
        <f>'P_L Variables'!D118*'P_L Variables'!D140</f>
        <v>16000</v>
      </c>
      <c r="T20" s="25">
        <f>'P_L Variables'!E118*'P_L Variables'!E140</f>
        <v>16000</v>
      </c>
      <c r="U20" s="25">
        <f>'P_L Variables'!F118*'P_L Variables'!F140</f>
        <v>16000</v>
      </c>
      <c r="V20" s="25">
        <f>'P_L Variables'!G118*'P_L Variables'!G140</f>
        <v>16000</v>
      </c>
      <c r="W20" s="25">
        <f>'P_L Variables'!H118*'P_L Variables'!H140</f>
        <v>16000</v>
      </c>
      <c r="X20" s="25">
        <f>'P_L Variables'!I118*'P_L Variables'!I140</f>
        <v>16000</v>
      </c>
      <c r="Y20" s="25">
        <f>'P_L Variables'!J118*'P_L Variables'!J140</f>
        <v>16000</v>
      </c>
      <c r="Z20" s="25">
        <f>'P_L Variables'!K118*'P_L Variables'!K140</f>
        <v>16000</v>
      </c>
      <c r="AA20" s="25">
        <f>'P_L Variables'!L118*'P_L Variables'!L140</f>
        <v>16000</v>
      </c>
      <c r="AB20" s="25">
        <f>'P_L Variables'!M118*'P_L Variables'!M140</f>
        <v>16000</v>
      </c>
      <c r="AC20" s="25">
        <f>'P_L Variables'!N118*'P_L Variables'!N140</f>
        <v>16000</v>
      </c>
      <c r="AD20" s="25">
        <f>'P_L Variables'!C119*'P_L Variables'!C141</f>
        <v>16800</v>
      </c>
      <c r="AE20" s="25">
        <f>'P_L Variables'!D119*'P_L Variables'!D141</f>
        <v>16800</v>
      </c>
      <c r="AF20" s="25">
        <f>'P_L Variables'!E119*'P_L Variables'!E141</f>
        <v>16800</v>
      </c>
      <c r="AG20" s="25">
        <f>'P_L Variables'!F119*'P_L Variables'!F141</f>
        <v>16800</v>
      </c>
      <c r="AH20" s="25">
        <f>'P_L Variables'!G119*'P_L Variables'!G141</f>
        <v>16800</v>
      </c>
      <c r="AI20" s="25">
        <f>'P_L Variables'!H119*'P_L Variables'!H141</f>
        <v>16800</v>
      </c>
      <c r="AJ20" s="25">
        <f>'P_L Variables'!I119*'P_L Variables'!I141</f>
        <v>16800</v>
      </c>
      <c r="AK20" s="25">
        <f>'P_L Variables'!J119*'P_L Variables'!J141</f>
        <v>16800</v>
      </c>
      <c r="AL20" s="25">
        <f>'P_L Variables'!K119*'P_L Variables'!K141</f>
        <v>16800</v>
      </c>
      <c r="AM20" s="25">
        <f>'P_L Variables'!L119*'P_L Variables'!L141</f>
        <v>16800</v>
      </c>
      <c r="AN20" s="25">
        <f>'P_L Variables'!M119*'P_L Variables'!M141</f>
        <v>16800</v>
      </c>
      <c r="AO20" s="25">
        <f>'P_L Variables'!N119*'P_L Variables'!N141</f>
        <v>16800</v>
      </c>
      <c r="AP20" s="25">
        <f>'P_L Variables'!C120*'P_L Variables'!C142</f>
        <v>16800</v>
      </c>
      <c r="AQ20" s="25">
        <f>'P_L Variables'!D120*'P_L Variables'!D142</f>
        <v>16800</v>
      </c>
      <c r="AR20" s="25">
        <f>'P_L Variables'!E120*'P_L Variables'!E142</f>
        <v>16800</v>
      </c>
      <c r="AS20" s="25">
        <f>'P_L Variables'!F120*'P_L Variables'!F142</f>
        <v>16800</v>
      </c>
      <c r="AT20" s="25">
        <f>'P_L Variables'!G120*'P_L Variables'!G142</f>
        <v>16800</v>
      </c>
      <c r="AU20" s="25">
        <f>'P_L Variables'!H120*'P_L Variables'!H142</f>
        <v>16800</v>
      </c>
      <c r="AV20" s="25">
        <f>'P_L Variables'!I120*'P_L Variables'!I142</f>
        <v>16800</v>
      </c>
      <c r="AW20" s="25">
        <f>'P_L Variables'!J120*'P_L Variables'!J142</f>
        <v>16800</v>
      </c>
      <c r="AX20" s="25">
        <f>'P_L Variables'!K120*'P_L Variables'!K142</f>
        <v>16800</v>
      </c>
      <c r="AY20" s="25">
        <f>'P_L Variables'!L120*'P_L Variables'!L142</f>
        <v>16800</v>
      </c>
      <c r="AZ20" s="25">
        <f>'P_L Variables'!M120*'P_L Variables'!M142</f>
        <v>16800</v>
      </c>
      <c r="BA20" s="25">
        <f>'P_L Variables'!N120*'P_L Variables'!N142</f>
        <v>16800</v>
      </c>
    </row>
    <row r="21" spans="2:53" x14ac:dyDescent="0.25">
      <c r="B21" s="1" t="s">
        <v>85</v>
      </c>
      <c r="C21" s="25">
        <f>'P_L Variables'!L97*'P_L Variables'!L75*2</f>
        <v>0</v>
      </c>
      <c r="D21" s="25">
        <f>'P_L Variables'!M97*'P_L Variables'!M75*2</f>
        <v>0</v>
      </c>
      <c r="E21" s="25">
        <f>F21/4</f>
        <v>125</v>
      </c>
      <c r="F21" s="25">
        <f>'P_L Variables'!C128*'P_L Variables'!C150</f>
        <v>500</v>
      </c>
      <c r="G21" s="25">
        <f>'P_L Variables'!D128*'P_L Variables'!D150</f>
        <v>500</v>
      </c>
      <c r="H21" s="25">
        <f>'P_L Variables'!E128*'P_L Variables'!E150</f>
        <v>1500</v>
      </c>
      <c r="I21" s="25">
        <f>'P_L Variables'!F128*'P_L Variables'!F150</f>
        <v>2500</v>
      </c>
      <c r="J21" s="25">
        <f>'P_L Variables'!G128*'P_L Variables'!G150</f>
        <v>2500</v>
      </c>
      <c r="K21" s="25">
        <f>'P_L Variables'!H128*'P_L Variables'!H150</f>
        <v>500</v>
      </c>
      <c r="L21" s="25">
        <f>'P_L Variables'!I128*'P_L Variables'!I150</f>
        <v>500</v>
      </c>
      <c r="M21" s="25">
        <f>'P_L Variables'!J128*'P_L Variables'!J150</f>
        <v>500</v>
      </c>
      <c r="N21" s="25">
        <f>'P_L Variables'!K128*'P_L Variables'!K150</f>
        <v>800</v>
      </c>
      <c r="O21" s="25">
        <f>'P_L Variables'!L128*'P_L Variables'!L150</f>
        <v>500</v>
      </c>
      <c r="P21" s="25">
        <f>'P_L Variables'!M128*'P_L Variables'!M150</f>
        <v>500</v>
      </c>
      <c r="Q21" s="25">
        <f>'P_L Variables'!N128*'P_L Variables'!N150</f>
        <v>500</v>
      </c>
      <c r="R21" s="25">
        <f>'P_L Variables'!C129*'P_L Variables'!C151</f>
        <v>825</v>
      </c>
      <c r="S21" s="25">
        <f>'P_L Variables'!D129*'P_L Variables'!D151</f>
        <v>825</v>
      </c>
      <c r="T21" s="25">
        <f>'P_L Variables'!E129*'P_L Variables'!E151</f>
        <v>1950</v>
      </c>
      <c r="U21" s="25">
        <f>'P_L Variables'!F129*'P_L Variables'!F151</f>
        <v>3150</v>
      </c>
      <c r="V21" s="25">
        <f>'P_L Variables'!G129*'P_L Variables'!G151</f>
        <v>3150</v>
      </c>
      <c r="W21" s="25">
        <f>'P_L Variables'!H129*'P_L Variables'!H151</f>
        <v>825</v>
      </c>
      <c r="X21" s="25">
        <f>'P_L Variables'!I129*'P_L Variables'!I151</f>
        <v>825</v>
      </c>
      <c r="Y21" s="25">
        <f>'P_L Variables'!J129*'P_L Variables'!J151</f>
        <v>825</v>
      </c>
      <c r="Z21" s="25">
        <f>'P_L Variables'!K129*'P_L Variables'!K151</f>
        <v>1100</v>
      </c>
      <c r="AA21" s="25">
        <f>'P_L Variables'!L129*'P_L Variables'!L151</f>
        <v>825</v>
      </c>
      <c r="AB21" s="25">
        <f>'P_L Variables'!M129*'P_L Variables'!M151</f>
        <v>825</v>
      </c>
      <c r="AC21" s="25">
        <f>'P_L Variables'!N129*'P_L Variables'!N151</f>
        <v>825</v>
      </c>
      <c r="AD21" s="25">
        <f>'P_L Variables'!C130*'P_L Variables'!C152</f>
        <v>1200</v>
      </c>
      <c r="AE21" s="25">
        <f>'P_L Variables'!D130*'P_L Variables'!D152</f>
        <v>1200</v>
      </c>
      <c r="AF21" s="25">
        <f>'P_L Variables'!E130*'P_L Variables'!E152</f>
        <v>2100</v>
      </c>
      <c r="AG21" s="25">
        <f>'P_L Variables'!F130*'P_L Variables'!F152</f>
        <v>3300</v>
      </c>
      <c r="AH21" s="25">
        <f>'P_L Variables'!G130*'P_L Variables'!G152</f>
        <v>3300</v>
      </c>
      <c r="AI21" s="25">
        <f>'P_L Variables'!H130*'P_L Variables'!H152</f>
        <v>900</v>
      </c>
      <c r="AJ21" s="25">
        <f>'P_L Variables'!I130*'P_L Variables'!I152</f>
        <v>900</v>
      </c>
      <c r="AK21" s="25">
        <f>'P_L Variables'!J130*'P_L Variables'!J152</f>
        <v>900</v>
      </c>
      <c r="AL21" s="25">
        <f>'P_L Variables'!K130*'P_L Variables'!K152</f>
        <v>1200</v>
      </c>
      <c r="AM21" s="25">
        <f>'P_L Variables'!L130*'P_L Variables'!L152</f>
        <v>900</v>
      </c>
      <c r="AN21" s="25">
        <f>'P_L Variables'!M130*'P_L Variables'!M152</f>
        <v>900</v>
      </c>
      <c r="AO21" s="25">
        <f>'P_L Variables'!N130*'P_L Variables'!N152</f>
        <v>900</v>
      </c>
      <c r="AP21" s="25">
        <f>'P_L Variables'!C131*'P_L Variables'!C153</f>
        <v>1500</v>
      </c>
      <c r="AQ21" s="25">
        <f>'P_L Variables'!D131*'P_L Variables'!D153</f>
        <v>1200</v>
      </c>
      <c r="AR21" s="25">
        <f>'P_L Variables'!E131*'P_L Variables'!E153</f>
        <v>2100</v>
      </c>
      <c r="AS21" s="25">
        <f>'P_L Variables'!F131*'P_L Variables'!F153</f>
        <v>3300</v>
      </c>
      <c r="AT21" s="25">
        <f>'P_L Variables'!G131*'P_L Variables'!G153</f>
        <v>3300</v>
      </c>
      <c r="AU21" s="25">
        <f>'P_L Variables'!H131*'P_L Variables'!H153</f>
        <v>975</v>
      </c>
      <c r="AV21" s="25">
        <f>'P_L Variables'!I131*'P_L Variables'!I153</f>
        <v>975</v>
      </c>
      <c r="AW21" s="25">
        <f>'P_L Variables'!J131*'P_L Variables'!J153</f>
        <v>900</v>
      </c>
      <c r="AX21" s="25">
        <f>'P_L Variables'!K131*'P_L Variables'!K153</f>
        <v>1200</v>
      </c>
      <c r="AY21" s="25">
        <f>'P_L Variables'!L131*'P_L Variables'!L153</f>
        <v>900</v>
      </c>
      <c r="AZ21" s="25">
        <f>'P_L Variables'!M131*'P_L Variables'!M153</f>
        <v>900</v>
      </c>
      <c r="BA21" s="25">
        <f>'P_L Variables'!N131*'P_L Variables'!N153</f>
        <v>900</v>
      </c>
    </row>
    <row r="22" spans="2:53" x14ac:dyDescent="0.25">
      <c r="C22" s="28">
        <f t="shared" ref="C22:AH22" si="4">SUM(C20:C21)</f>
        <v>0</v>
      </c>
      <c r="D22" s="28">
        <f t="shared" si="4"/>
        <v>0</v>
      </c>
      <c r="E22" s="28">
        <f t="shared" si="4"/>
        <v>4125</v>
      </c>
      <c r="F22" s="28">
        <f t="shared" si="4"/>
        <v>16500</v>
      </c>
      <c r="G22" s="28">
        <f t="shared" si="4"/>
        <v>16500</v>
      </c>
      <c r="H22" s="28">
        <f t="shared" si="4"/>
        <v>17500</v>
      </c>
      <c r="I22" s="28">
        <f t="shared" si="4"/>
        <v>18500</v>
      </c>
      <c r="J22" s="28">
        <f t="shared" si="4"/>
        <v>18500</v>
      </c>
      <c r="K22" s="28">
        <f t="shared" si="4"/>
        <v>16500</v>
      </c>
      <c r="L22" s="28">
        <f t="shared" si="4"/>
        <v>16500</v>
      </c>
      <c r="M22" s="28">
        <f t="shared" si="4"/>
        <v>16500</v>
      </c>
      <c r="N22" s="28">
        <f t="shared" si="4"/>
        <v>16800</v>
      </c>
      <c r="O22" s="28">
        <f t="shared" si="4"/>
        <v>16500</v>
      </c>
      <c r="P22" s="28">
        <f t="shared" si="4"/>
        <v>16500</v>
      </c>
      <c r="Q22" s="28">
        <f t="shared" si="4"/>
        <v>16500</v>
      </c>
      <c r="R22" s="28">
        <f t="shared" si="4"/>
        <v>16825</v>
      </c>
      <c r="S22" s="28">
        <f t="shared" si="4"/>
        <v>16825</v>
      </c>
      <c r="T22" s="28">
        <f t="shared" si="4"/>
        <v>17950</v>
      </c>
      <c r="U22" s="28">
        <f t="shared" si="4"/>
        <v>19150</v>
      </c>
      <c r="V22" s="28">
        <f t="shared" si="4"/>
        <v>19150</v>
      </c>
      <c r="W22" s="28">
        <f t="shared" si="4"/>
        <v>16825</v>
      </c>
      <c r="X22" s="28">
        <f t="shared" si="4"/>
        <v>16825</v>
      </c>
      <c r="Y22" s="28">
        <f t="shared" si="4"/>
        <v>16825</v>
      </c>
      <c r="Z22" s="28">
        <f t="shared" si="4"/>
        <v>17100</v>
      </c>
      <c r="AA22" s="28">
        <f t="shared" si="4"/>
        <v>16825</v>
      </c>
      <c r="AB22" s="28">
        <f t="shared" si="4"/>
        <v>16825</v>
      </c>
      <c r="AC22" s="28">
        <f t="shared" si="4"/>
        <v>16825</v>
      </c>
      <c r="AD22" s="28">
        <f t="shared" si="4"/>
        <v>18000</v>
      </c>
      <c r="AE22" s="28">
        <f t="shared" si="4"/>
        <v>18000</v>
      </c>
      <c r="AF22" s="28">
        <f t="shared" si="4"/>
        <v>18900</v>
      </c>
      <c r="AG22" s="28">
        <f t="shared" si="4"/>
        <v>20100</v>
      </c>
      <c r="AH22" s="28">
        <f t="shared" si="4"/>
        <v>20100</v>
      </c>
      <c r="AI22" s="28">
        <f t="shared" ref="AI22:BA22" si="5">SUM(AI20:AI21)</f>
        <v>17700</v>
      </c>
      <c r="AJ22" s="28">
        <f t="shared" si="5"/>
        <v>17700</v>
      </c>
      <c r="AK22" s="28">
        <f t="shared" si="5"/>
        <v>17700</v>
      </c>
      <c r="AL22" s="28">
        <f t="shared" si="5"/>
        <v>18000</v>
      </c>
      <c r="AM22" s="28">
        <f t="shared" si="5"/>
        <v>17700</v>
      </c>
      <c r="AN22" s="28">
        <f t="shared" si="5"/>
        <v>17700</v>
      </c>
      <c r="AO22" s="28">
        <f t="shared" si="5"/>
        <v>17700</v>
      </c>
      <c r="AP22" s="28">
        <f t="shared" si="5"/>
        <v>18300</v>
      </c>
      <c r="AQ22" s="28">
        <f t="shared" si="5"/>
        <v>18000</v>
      </c>
      <c r="AR22" s="28">
        <f t="shared" si="5"/>
        <v>18900</v>
      </c>
      <c r="AS22" s="28">
        <f t="shared" si="5"/>
        <v>20100</v>
      </c>
      <c r="AT22" s="28">
        <f t="shared" si="5"/>
        <v>20100</v>
      </c>
      <c r="AU22" s="28">
        <f t="shared" si="5"/>
        <v>17775</v>
      </c>
      <c r="AV22" s="28">
        <f t="shared" si="5"/>
        <v>17775</v>
      </c>
      <c r="AW22" s="28">
        <f t="shared" si="5"/>
        <v>17700</v>
      </c>
      <c r="AX22" s="28">
        <f t="shared" si="5"/>
        <v>18000</v>
      </c>
      <c r="AY22" s="28">
        <f t="shared" si="5"/>
        <v>17700</v>
      </c>
      <c r="AZ22" s="28">
        <f t="shared" si="5"/>
        <v>17700</v>
      </c>
      <c r="BA22" s="28">
        <f t="shared" si="5"/>
        <v>17700</v>
      </c>
    </row>
    <row r="23" spans="2:53" x14ac:dyDescent="0.25">
      <c r="B23" s="1" t="s">
        <v>89</v>
      </c>
      <c r="C23" s="29">
        <f>'P_L Variables'!L108</f>
        <v>0</v>
      </c>
      <c r="D23" s="29">
        <f>'P_L Variables'!M108</f>
        <v>0</v>
      </c>
      <c r="E23" s="29">
        <f>'P_L Variables'!N108</f>
        <v>0</v>
      </c>
      <c r="F23" s="30">
        <f>'P_L Variables'!C161</f>
        <v>0.85699999999999998</v>
      </c>
      <c r="G23" s="30">
        <f>'P_L Variables'!D161</f>
        <v>0.85699999999999998</v>
      </c>
      <c r="H23" s="30">
        <f>'P_L Variables'!E161</f>
        <v>0.85699999999999998</v>
      </c>
      <c r="I23" s="30">
        <f>'P_L Variables'!F161</f>
        <v>0.85699999999999998</v>
      </c>
      <c r="J23" s="30">
        <f>'P_L Variables'!G161</f>
        <v>0.85699999999999998</v>
      </c>
      <c r="K23" s="30">
        <f>'P_L Variables'!H161</f>
        <v>0.85699999999999998</v>
      </c>
      <c r="L23" s="30">
        <f>'P_L Variables'!I161</f>
        <v>0.85699999999999998</v>
      </c>
      <c r="M23" s="30">
        <f>'P_L Variables'!J161</f>
        <v>0.85699999999999998</v>
      </c>
      <c r="N23" s="30">
        <f>'P_L Variables'!K161</f>
        <v>0.85699999999999998</v>
      </c>
      <c r="O23" s="30">
        <f>'P_L Variables'!L161</f>
        <v>0.85699999999999998</v>
      </c>
      <c r="P23" s="30">
        <f>'P_L Variables'!M161</f>
        <v>0.85699999999999998</v>
      </c>
      <c r="Q23" s="30">
        <f>'P_L Variables'!N161</f>
        <v>0.85699999999999998</v>
      </c>
      <c r="R23" s="30">
        <f>'P_L Variables'!C162</f>
        <v>0.85699999999999998</v>
      </c>
      <c r="S23" s="30">
        <f>'P_L Variables'!D162</f>
        <v>0.85699999999999998</v>
      </c>
      <c r="T23" s="30">
        <f>'P_L Variables'!E162</f>
        <v>0.85699999999999998</v>
      </c>
      <c r="U23" s="30">
        <f>'P_L Variables'!F162</f>
        <v>0.85699999999999998</v>
      </c>
      <c r="V23" s="30">
        <f>'P_L Variables'!G162</f>
        <v>0.85699999999999998</v>
      </c>
      <c r="W23" s="30">
        <f>'P_L Variables'!H162</f>
        <v>0.85699999999999998</v>
      </c>
      <c r="X23" s="30">
        <f>'P_L Variables'!I162</f>
        <v>0.85699999999999998</v>
      </c>
      <c r="Y23" s="30">
        <f>'P_L Variables'!J162</f>
        <v>0.85699999999999998</v>
      </c>
      <c r="Z23" s="30">
        <f>'P_L Variables'!K162</f>
        <v>0.85699999999999998</v>
      </c>
      <c r="AA23" s="30">
        <f>'P_L Variables'!L162</f>
        <v>0.85699999999999998</v>
      </c>
      <c r="AB23" s="30">
        <f>'P_L Variables'!M162</f>
        <v>0.85699999999999998</v>
      </c>
      <c r="AC23" s="30">
        <f>'P_L Variables'!N162</f>
        <v>0.85699999999999998</v>
      </c>
      <c r="AD23" s="30">
        <f>'P_L Variables'!C163</f>
        <v>0.85699999999999998</v>
      </c>
      <c r="AE23" s="30">
        <f>'P_L Variables'!D163</f>
        <v>0.85699999999999998</v>
      </c>
      <c r="AF23" s="30">
        <f>'P_L Variables'!E163</f>
        <v>0.85699999999999998</v>
      </c>
      <c r="AG23" s="30">
        <f>'P_L Variables'!F163</f>
        <v>0.85699999999999998</v>
      </c>
      <c r="AH23" s="30">
        <f>'P_L Variables'!G163</f>
        <v>0.85699999999999998</v>
      </c>
      <c r="AI23" s="30">
        <f>'P_L Variables'!H163</f>
        <v>0.85699999999999998</v>
      </c>
      <c r="AJ23" s="30">
        <f>'P_L Variables'!I163</f>
        <v>0.85699999999999998</v>
      </c>
      <c r="AK23" s="30">
        <f>'P_L Variables'!J163</f>
        <v>0.85699999999999998</v>
      </c>
      <c r="AL23" s="30">
        <f>'P_L Variables'!K163</f>
        <v>0.85699999999999998</v>
      </c>
      <c r="AM23" s="30">
        <f>'P_L Variables'!L163</f>
        <v>0.85699999999999998</v>
      </c>
      <c r="AN23" s="30">
        <f>'P_L Variables'!M163</f>
        <v>0.85699999999999998</v>
      </c>
      <c r="AO23" s="30">
        <f>'P_L Variables'!N163</f>
        <v>0.85699999999999998</v>
      </c>
      <c r="AP23" s="30">
        <f>'P_L Variables'!C164</f>
        <v>0.85699999999999998</v>
      </c>
      <c r="AQ23" s="30">
        <f>'P_L Variables'!D164</f>
        <v>0.85699999999999998</v>
      </c>
      <c r="AR23" s="30">
        <f>'P_L Variables'!E164</f>
        <v>0.85699999999999998</v>
      </c>
      <c r="AS23" s="30">
        <f>'P_L Variables'!F164</f>
        <v>0.85699999999999998</v>
      </c>
      <c r="AT23" s="30">
        <f>'P_L Variables'!G164</f>
        <v>0.85699999999999998</v>
      </c>
      <c r="AU23" s="30">
        <f>'P_L Variables'!H164</f>
        <v>0.85699999999999998</v>
      </c>
      <c r="AV23" s="30">
        <f>'P_L Variables'!I164</f>
        <v>0.85699999999999998</v>
      </c>
      <c r="AW23" s="30">
        <f>'P_L Variables'!J164</f>
        <v>0.85699999999999998</v>
      </c>
      <c r="AX23" s="30">
        <f>'P_L Variables'!K164</f>
        <v>0.85699999999999998</v>
      </c>
      <c r="AY23" s="30">
        <f>'P_L Variables'!L164</f>
        <v>0.85699999999999998</v>
      </c>
      <c r="AZ23" s="30">
        <f>'P_L Variables'!M164</f>
        <v>0.85699999999999998</v>
      </c>
      <c r="BA23" s="30">
        <f>'P_L Variables'!N164</f>
        <v>0.85699999999999998</v>
      </c>
    </row>
    <row r="24" spans="2:53" x14ac:dyDescent="0.25">
      <c r="C24" s="29"/>
      <c r="D24" s="29"/>
      <c r="E24" s="29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</row>
    <row r="25" spans="2:53" x14ac:dyDescent="0.25">
      <c r="B25" s="1" t="s">
        <v>84</v>
      </c>
      <c r="C25" s="31">
        <f>C14*C17</f>
        <v>0</v>
      </c>
      <c r="D25" s="31">
        <f>D14*D17</f>
        <v>0</v>
      </c>
      <c r="E25" s="25">
        <f>F25/4</f>
        <v>4100</v>
      </c>
      <c r="F25" s="31">
        <f t="shared" ref="F25:BA25" si="6">F14*F17</f>
        <v>16400</v>
      </c>
      <c r="G25" s="31">
        <f t="shared" si="6"/>
        <v>16400</v>
      </c>
      <c r="H25" s="31">
        <f t="shared" si="6"/>
        <v>16400</v>
      </c>
      <c r="I25" s="31">
        <f t="shared" si="6"/>
        <v>16400</v>
      </c>
      <c r="J25" s="31">
        <f t="shared" si="6"/>
        <v>16400</v>
      </c>
      <c r="K25" s="31">
        <f t="shared" si="6"/>
        <v>16400</v>
      </c>
      <c r="L25" s="31">
        <f t="shared" si="6"/>
        <v>16400</v>
      </c>
      <c r="M25" s="31">
        <f t="shared" si="6"/>
        <v>16400</v>
      </c>
      <c r="N25" s="31">
        <f t="shared" si="6"/>
        <v>16400</v>
      </c>
      <c r="O25" s="31">
        <f t="shared" si="6"/>
        <v>16400</v>
      </c>
      <c r="P25" s="31">
        <f t="shared" si="6"/>
        <v>16400</v>
      </c>
      <c r="Q25" s="31">
        <f t="shared" si="6"/>
        <v>16400</v>
      </c>
      <c r="R25" s="31">
        <f t="shared" si="6"/>
        <v>16800</v>
      </c>
      <c r="S25" s="31">
        <f t="shared" si="6"/>
        <v>16800</v>
      </c>
      <c r="T25" s="31">
        <f t="shared" si="6"/>
        <v>16800</v>
      </c>
      <c r="U25" s="31">
        <f t="shared" si="6"/>
        <v>16800</v>
      </c>
      <c r="V25" s="31">
        <f t="shared" si="6"/>
        <v>16800</v>
      </c>
      <c r="W25" s="31">
        <f t="shared" si="6"/>
        <v>16800</v>
      </c>
      <c r="X25" s="31">
        <f t="shared" si="6"/>
        <v>16800</v>
      </c>
      <c r="Y25" s="31">
        <f t="shared" si="6"/>
        <v>16800</v>
      </c>
      <c r="Z25" s="31">
        <f t="shared" si="6"/>
        <v>16800</v>
      </c>
      <c r="AA25" s="31">
        <f t="shared" si="6"/>
        <v>16800</v>
      </c>
      <c r="AB25" s="31">
        <f t="shared" si="6"/>
        <v>16800</v>
      </c>
      <c r="AC25" s="31">
        <f t="shared" si="6"/>
        <v>16800</v>
      </c>
      <c r="AD25" s="31">
        <f t="shared" si="6"/>
        <v>17200</v>
      </c>
      <c r="AE25" s="31">
        <f t="shared" si="6"/>
        <v>17200</v>
      </c>
      <c r="AF25" s="31">
        <f t="shared" si="6"/>
        <v>17200</v>
      </c>
      <c r="AG25" s="31">
        <f t="shared" si="6"/>
        <v>17200</v>
      </c>
      <c r="AH25" s="31">
        <f t="shared" si="6"/>
        <v>17200</v>
      </c>
      <c r="AI25" s="31">
        <f t="shared" si="6"/>
        <v>17200</v>
      </c>
      <c r="AJ25" s="31">
        <f t="shared" si="6"/>
        <v>17200</v>
      </c>
      <c r="AK25" s="31">
        <f t="shared" si="6"/>
        <v>17200</v>
      </c>
      <c r="AL25" s="31">
        <f t="shared" si="6"/>
        <v>17200</v>
      </c>
      <c r="AM25" s="31">
        <f t="shared" si="6"/>
        <v>17200</v>
      </c>
      <c r="AN25" s="31">
        <f t="shared" si="6"/>
        <v>17200</v>
      </c>
      <c r="AO25" s="31">
        <f t="shared" si="6"/>
        <v>17200</v>
      </c>
      <c r="AP25" s="31">
        <f t="shared" si="6"/>
        <v>17600</v>
      </c>
      <c r="AQ25" s="31">
        <f t="shared" si="6"/>
        <v>17600</v>
      </c>
      <c r="AR25" s="31">
        <f t="shared" si="6"/>
        <v>17600</v>
      </c>
      <c r="AS25" s="31">
        <f t="shared" si="6"/>
        <v>17600</v>
      </c>
      <c r="AT25" s="31">
        <f t="shared" si="6"/>
        <v>17600</v>
      </c>
      <c r="AU25" s="31">
        <f t="shared" si="6"/>
        <v>17600</v>
      </c>
      <c r="AV25" s="31">
        <f t="shared" si="6"/>
        <v>17600</v>
      </c>
      <c r="AW25" s="31">
        <f t="shared" si="6"/>
        <v>17600</v>
      </c>
      <c r="AX25" s="31">
        <f t="shared" si="6"/>
        <v>17600</v>
      </c>
      <c r="AY25" s="31">
        <f t="shared" si="6"/>
        <v>17600</v>
      </c>
      <c r="AZ25" s="31">
        <f t="shared" si="6"/>
        <v>17600</v>
      </c>
      <c r="BA25" s="31">
        <f t="shared" si="6"/>
        <v>17600</v>
      </c>
    </row>
    <row r="26" spans="2:53" x14ac:dyDescent="0.25">
      <c r="B26" s="1" t="s">
        <v>85</v>
      </c>
      <c r="C26" s="31">
        <f>C15*C17</f>
        <v>0</v>
      </c>
      <c r="D26" s="31">
        <f>D15*D17</f>
        <v>0</v>
      </c>
      <c r="E26" s="25">
        <f>F26/4</f>
        <v>125</v>
      </c>
      <c r="F26" s="31">
        <f t="shared" ref="F26:BA26" si="7">F15*F17</f>
        <v>500</v>
      </c>
      <c r="G26" s="31">
        <f t="shared" si="7"/>
        <v>500</v>
      </c>
      <c r="H26" s="31">
        <f t="shared" si="7"/>
        <v>1500</v>
      </c>
      <c r="I26" s="31">
        <f t="shared" si="7"/>
        <v>2500</v>
      </c>
      <c r="J26" s="31">
        <f t="shared" si="7"/>
        <v>2500</v>
      </c>
      <c r="K26" s="31">
        <f t="shared" si="7"/>
        <v>500</v>
      </c>
      <c r="L26" s="31">
        <f t="shared" si="7"/>
        <v>500</v>
      </c>
      <c r="M26" s="31">
        <f t="shared" si="7"/>
        <v>500</v>
      </c>
      <c r="N26" s="31">
        <f t="shared" si="7"/>
        <v>800</v>
      </c>
      <c r="O26" s="31">
        <f t="shared" si="7"/>
        <v>500</v>
      </c>
      <c r="P26" s="31">
        <f t="shared" si="7"/>
        <v>500</v>
      </c>
      <c r="Q26" s="31">
        <f t="shared" si="7"/>
        <v>500</v>
      </c>
      <c r="R26" s="31">
        <f t="shared" si="7"/>
        <v>825</v>
      </c>
      <c r="S26" s="31">
        <f t="shared" si="7"/>
        <v>825</v>
      </c>
      <c r="T26" s="31">
        <f t="shared" si="7"/>
        <v>1950</v>
      </c>
      <c r="U26" s="31">
        <f t="shared" si="7"/>
        <v>3150</v>
      </c>
      <c r="V26" s="31">
        <f t="shared" si="7"/>
        <v>3150</v>
      </c>
      <c r="W26" s="31">
        <f t="shared" si="7"/>
        <v>825</v>
      </c>
      <c r="X26" s="31">
        <f t="shared" si="7"/>
        <v>825</v>
      </c>
      <c r="Y26" s="31">
        <f t="shared" si="7"/>
        <v>825</v>
      </c>
      <c r="Z26" s="31">
        <f t="shared" si="7"/>
        <v>1100</v>
      </c>
      <c r="AA26" s="31">
        <f t="shared" si="7"/>
        <v>825</v>
      </c>
      <c r="AB26" s="31">
        <f t="shared" si="7"/>
        <v>825</v>
      </c>
      <c r="AC26" s="31">
        <f t="shared" si="7"/>
        <v>825</v>
      </c>
      <c r="AD26" s="31">
        <f t="shared" si="7"/>
        <v>1200</v>
      </c>
      <c r="AE26" s="31">
        <f t="shared" si="7"/>
        <v>1200</v>
      </c>
      <c r="AF26" s="31">
        <f t="shared" si="7"/>
        <v>2100</v>
      </c>
      <c r="AG26" s="31">
        <f t="shared" si="7"/>
        <v>3300</v>
      </c>
      <c r="AH26" s="31">
        <f t="shared" si="7"/>
        <v>3300</v>
      </c>
      <c r="AI26" s="31">
        <f t="shared" si="7"/>
        <v>900</v>
      </c>
      <c r="AJ26" s="31">
        <f t="shared" si="7"/>
        <v>900</v>
      </c>
      <c r="AK26" s="31">
        <f t="shared" si="7"/>
        <v>900</v>
      </c>
      <c r="AL26" s="31">
        <f t="shared" si="7"/>
        <v>1200</v>
      </c>
      <c r="AM26" s="31">
        <f t="shared" si="7"/>
        <v>900</v>
      </c>
      <c r="AN26" s="31">
        <f t="shared" si="7"/>
        <v>900</v>
      </c>
      <c r="AO26" s="31">
        <f t="shared" si="7"/>
        <v>900</v>
      </c>
      <c r="AP26" s="31">
        <f t="shared" si="7"/>
        <v>1500</v>
      </c>
      <c r="AQ26" s="31">
        <f t="shared" si="7"/>
        <v>1200</v>
      </c>
      <c r="AR26" s="31">
        <f t="shared" si="7"/>
        <v>2100</v>
      </c>
      <c r="AS26" s="31">
        <f t="shared" si="7"/>
        <v>3300</v>
      </c>
      <c r="AT26" s="31">
        <f t="shared" si="7"/>
        <v>3300</v>
      </c>
      <c r="AU26" s="31">
        <f t="shared" si="7"/>
        <v>975</v>
      </c>
      <c r="AV26" s="31">
        <f t="shared" si="7"/>
        <v>975</v>
      </c>
      <c r="AW26" s="31">
        <f t="shared" si="7"/>
        <v>900</v>
      </c>
      <c r="AX26" s="31">
        <f t="shared" si="7"/>
        <v>1200</v>
      </c>
      <c r="AY26" s="31">
        <f t="shared" si="7"/>
        <v>900</v>
      </c>
      <c r="AZ26" s="31">
        <f t="shared" si="7"/>
        <v>900</v>
      </c>
      <c r="BA26" s="31">
        <f t="shared" si="7"/>
        <v>900</v>
      </c>
    </row>
    <row r="27" spans="2:53" ht="13" x14ac:dyDescent="0.3">
      <c r="B27" s="2" t="s">
        <v>90</v>
      </c>
      <c r="C27" s="28">
        <f>C17*C16</f>
        <v>0</v>
      </c>
      <c r="D27" s="28">
        <f>D17*D16</f>
        <v>0</v>
      </c>
      <c r="E27" s="28">
        <f>SUM(E25:E26)</f>
        <v>4225</v>
      </c>
      <c r="F27" s="28">
        <f t="shared" ref="F27:BA27" si="8">F17*F16</f>
        <v>16900</v>
      </c>
      <c r="G27" s="28">
        <f t="shared" si="8"/>
        <v>16900</v>
      </c>
      <c r="H27" s="28">
        <f t="shared" si="8"/>
        <v>17900</v>
      </c>
      <c r="I27" s="28">
        <f t="shared" si="8"/>
        <v>18900</v>
      </c>
      <c r="J27" s="28">
        <f t="shared" si="8"/>
        <v>18900</v>
      </c>
      <c r="K27" s="28">
        <f t="shared" si="8"/>
        <v>16900</v>
      </c>
      <c r="L27" s="28">
        <f t="shared" si="8"/>
        <v>16900</v>
      </c>
      <c r="M27" s="28">
        <f t="shared" si="8"/>
        <v>16900</v>
      </c>
      <c r="N27" s="28">
        <f t="shared" si="8"/>
        <v>17200</v>
      </c>
      <c r="O27" s="28">
        <f t="shared" si="8"/>
        <v>16900</v>
      </c>
      <c r="P27" s="28">
        <f t="shared" si="8"/>
        <v>16900</v>
      </c>
      <c r="Q27" s="28">
        <f t="shared" si="8"/>
        <v>16900</v>
      </c>
      <c r="R27" s="28">
        <f t="shared" si="8"/>
        <v>17625</v>
      </c>
      <c r="S27" s="28">
        <f t="shared" si="8"/>
        <v>17625</v>
      </c>
      <c r="T27" s="28">
        <f t="shared" si="8"/>
        <v>18750</v>
      </c>
      <c r="U27" s="28">
        <f t="shared" si="8"/>
        <v>19950</v>
      </c>
      <c r="V27" s="28">
        <f t="shared" si="8"/>
        <v>19950</v>
      </c>
      <c r="W27" s="28">
        <f t="shared" si="8"/>
        <v>17625</v>
      </c>
      <c r="X27" s="28">
        <f t="shared" si="8"/>
        <v>17625</v>
      </c>
      <c r="Y27" s="28">
        <f t="shared" si="8"/>
        <v>17625</v>
      </c>
      <c r="Z27" s="28">
        <f t="shared" si="8"/>
        <v>17900</v>
      </c>
      <c r="AA27" s="28">
        <f t="shared" si="8"/>
        <v>17625</v>
      </c>
      <c r="AB27" s="28">
        <f t="shared" si="8"/>
        <v>17625</v>
      </c>
      <c r="AC27" s="28">
        <f t="shared" si="8"/>
        <v>17625</v>
      </c>
      <c r="AD27" s="28">
        <f t="shared" si="8"/>
        <v>18400</v>
      </c>
      <c r="AE27" s="28">
        <f t="shared" si="8"/>
        <v>18400</v>
      </c>
      <c r="AF27" s="28">
        <f t="shared" si="8"/>
        <v>19300</v>
      </c>
      <c r="AG27" s="28">
        <f t="shared" si="8"/>
        <v>20500</v>
      </c>
      <c r="AH27" s="28">
        <f t="shared" si="8"/>
        <v>20500</v>
      </c>
      <c r="AI27" s="28">
        <f t="shared" si="8"/>
        <v>18100</v>
      </c>
      <c r="AJ27" s="28">
        <f t="shared" si="8"/>
        <v>18100</v>
      </c>
      <c r="AK27" s="28">
        <f t="shared" si="8"/>
        <v>18100</v>
      </c>
      <c r="AL27" s="28">
        <f t="shared" si="8"/>
        <v>18400</v>
      </c>
      <c r="AM27" s="28">
        <f t="shared" si="8"/>
        <v>18100</v>
      </c>
      <c r="AN27" s="28">
        <f t="shared" si="8"/>
        <v>18100</v>
      </c>
      <c r="AO27" s="28">
        <f t="shared" si="8"/>
        <v>18100</v>
      </c>
      <c r="AP27" s="28">
        <f t="shared" si="8"/>
        <v>19100</v>
      </c>
      <c r="AQ27" s="28">
        <f t="shared" si="8"/>
        <v>18800</v>
      </c>
      <c r="AR27" s="28">
        <f t="shared" si="8"/>
        <v>19700</v>
      </c>
      <c r="AS27" s="28">
        <f t="shared" si="8"/>
        <v>20900</v>
      </c>
      <c r="AT27" s="28">
        <f t="shared" si="8"/>
        <v>20900</v>
      </c>
      <c r="AU27" s="28">
        <f t="shared" si="8"/>
        <v>18575</v>
      </c>
      <c r="AV27" s="28">
        <f t="shared" si="8"/>
        <v>18575</v>
      </c>
      <c r="AW27" s="28">
        <f t="shared" si="8"/>
        <v>18500</v>
      </c>
      <c r="AX27" s="28">
        <f t="shared" si="8"/>
        <v>18800</v>
      </c>
      <c r="AY27" s="28">
        <f t="shared" si="8"/>
        <v>18500</v>
      </c>
      <c r="AZ27" s="28">
        <f t="shared" si="8"/>
        <v>18500</v>
      </c>
      <c r="BA27" s="28">
        <f t="shared" si="8"/>
        <v>18500</v>
      </c>
    </row>
    <row r="29" spans="2:53" x14ac:dyDescent="0.25">
      <c r="B29" s="1" t="s">
        <v>84</v>
      </c>
      <c r="C29" s="31">
        <f>C20*C23</f>
        <v>0</v>
      </c>
      <c r="D29" s="31">
        <f>D19*D22</f>
        <v>0</v>
      </c>
      <c r="E29" s="25">
        <f>F29/4</f>
        <v>3428</v>
      </c>
      <c r="F29" s="31">
        <f t="shared" ref="F29:BA29" si="9">F20*F23</f>
        <v>13712</v>
      </c>
      <c r="G29" s="31">
        <f t="shared" si="9"/>
        <v>13712</v>
      </c>
      <c r="H29" s="31">
        <f t="shared" si="9"/>
        <v>13712</v>
      </c>
      <c r="I29" s="31">
        <f t="shared" si="9"/>
        <v>13712</v>
      </c>
      <c r="J29" s="31">
        <f t="shared" si="9"/>
        <v>13712</v>
      </c>
      <c r="K29" s="31">
        <f t="shared" si="9"/>
        <v>13712</v>
      </c>
      <c r="L29" s="31">
        <f t="shared" si="9"/>
        <v>13712</v>
      </c>
      <c r="M29" s="31">
        <f t="shared" si="9"/>
        <v>13712</v>
      </c>
      <c r="N29" s="31">
        <f t="shared" si="9"/>
        <v>13712</v>
      </c>
      <c r="O29" s="31">
        <f t="shared" si="9"/>
        <v>13712</v>
      </c>
      <c r="P29" s="31">
        <f t="shared" si="9"/>
        <v>13712</v>
      </c>
      <c r="Q29" s="31">
        <f t="shared" si="9"/>
        <v>13712</v>
      </c>
      <c r="R29" s="31">
        <f t="shared" si="9"/>
        <v>13712</v>
      </c>
      <c r="S29" s="31">
        <f t="shared" si="9"/>
        <v>13712</v>
      </c>
      <c r="T29" s="31">
        <f t="shared" si="9"/>
        <v>13712</v>
      </c>
      <c r="U29" s="31">
        <f t="shared" si="9"/>
        <v>13712</v>
      </c>
      <c r="V29" s="31">
        <f t="shared" si="9"/>
        <v>13712</v>
      </c>
      <c r="W29" s="31">
        <f t="shared" si="9"/>
        <v>13712</v>
      </c>
      <c r="X29" s="31">
        <f t="shared" si="9"/>
        <v>13712</v>
      </c>
      <c r="Y29" s="31">
        <f t="shared" si="9"/>
        <v>13712</v>
      </c>
      <c r="Z29" s="31">
        <f t="shared" si="9"/>
        <v>13712</v>
      </c>
      <c r="AA29" s="31">
        <f t="shared" si="9"/>
        <v>13712</v>
      </c>
      <c r="AB29" s="31">
        <f t="shared" si="9"/>
        <v>13712</v>
      </c>
      <c r="AC29" s="31">
        <f t="shared" si="9"/>
        <v>13712</v>
      </c>
      <c r="AD29" s="31">
        <f t="shared" si="9"/>
        <v>14397.6</v>
      </c>
      <c r="AE29" s="31">
        <f t="shared" si="9"/>
        <v>14397.6</v>
      </c>
      <c r="AF29" s="31">
        <f t="shared" si="9"/>
        <v>14397.6</v>
      </c>
      <c r="AG29" s="31">
        <f t="shared" si="9"/>
        <v>14397.6</v>
      </c>
      <c r="AH29" s="31">
        <f t="shared" si="9"/>
        <v>14397.6</v>
      </c>
      <c r="AI29" s="31">
        <f t="shared" si="9"/>
        <v>14397.6</v>
      </c>
      <c r="AJ29" s="31">
        <f t="shared" si="9"/>
        <v>14397.6</v>
      </c>
      <c r="AK29" s="31">
        <f t="shared" si="9"/>
        <v>14397.6</v>
      </c>
      <c r="AL29" s="31">
        <f t="shared" si="9"/>
        <v>14397.6</v>
      </c>
      <c r="AM29" s="31">
        <f t="shared" si="9"/>
        <v>14397.6</v>
      </c>
      <c r="AN29" s="31">
        <f t="shared" si="9"/>
        <v>14397.6</v>
      </c>
      <c r="AO29" s="31">
        <f t="shared" si="9"/>
        <v>14397.6</v>
      </c>
      <c r="AP29" s="31">
        <f t="shared" si="9"/>
        <v>14397.6</v>
      </c>
      <c r="AQ29" s="31">
        <f t="shared" si="9"/>
        <v>14397.6</v>
      </c>
      <c r="AR29" s="31">
        <f t="shared" si="9"/>
        <v>14397.6</v>
      </c>
      <c r="AS29" s="31">
        <f t="shared" si="9"/>
        <v>14397.6</v>
      </c>
      <c r="AT29" s="31">
        <f t="shared" si="9"/>
        <v>14397.6</v>
      </c>
      <c r="AU29" s="31">
        <f t="shared" si="9"/>
        <v>14397.6</v>
      </c>
      <c r="AV29" s="31">
        <f t="shared" si="9"/>
        <v>14397.6</v>
      </c>
      <c r="AW29" s="31">
        <f t="shared" si="9"/>
        <v>14397.6</v>
      </c>
      <c r="AX29" s="31">
        <f t="shared" si="9"/>
        <v>14397.6</v>
      </c>
      <c r="AY29" s="31">
        <f t="shared" si="9"/>
        <v>14397.6</v>
      </c>
      <c r="AZ29" s="31">
        <f t="shared" si="9"/>
        <v>14397.6</v>
      </c>
      <c r="BA29" s="31">
        <f t="shared" si="9"/>
        <v>14397.6</v>
      </c>
    </row>
    <row r="30" spans="2:53" x14ac:dyDescent="0.25">
      <c r="B30" s="1" t="s">
        <v>85</v>
      </c>
      <c r="C30" s="31">
        <f>C20*C22</f>
        <v>0</v>
      </c>
      <c r="D30" s="31">
        <f>D20*D22</f>
        <v>0</v>
      </c>
      <c r="E30" s="25">
        <f>F30/4</f>
        <v>107.125</v>
      </c>
      <c r="F30" s="31">
        <f t="shared" ref="F30:BA30" si="10">F21*F23</f>
        <v>428.5</v>
      </c>
      <c r="G30" s="31">
        <f t="shared" si="10"/>
        <v>428.5</v>
      </c>
      <c r="H30" s="31">
        <f t="shared" si="10"/>
        <v>1285.5</v>
      </c>
      <c r="I30" s="31">
        <f t="shared" si="10"/>
        <v>2142.5</v>
      </c>
      <c r="J30" s="31">
        <f t="shared" si="10"/>
        <v>2142.5</v>
      </c>
      <c r="K30" s="31">
        <f t="shared" si="10"/>
        <v>428.5</v>
      </c>
      <c r="L30" s="31">
        <f t="shared" si="10"/>
        <v>428.5</v>
      </c>
      <c r="M30" s="31">
        <f t="shared" si="10"/>
        <v>428.5</v>
      </c>
      <c r="N30" s="31">
        <f t="shared" si="10"/>
        <v>685.6</v>
      </c>
      <c r="O30" s="31">
        <f t="shared" si="10"/>
        <v>428.5</v>
      </c>
      <c r="P30" s="31">
        <f t="shared" si="10"/>
        <v>428.5</v>
      </c>
      <c r="Q30" s="31">
        <f t="shared" si="10"/>
        <v>428.5</v>
      </c>
      <c r="R30" s="31">
        <f t="shared" si="10"/>
        <v>707.02499999999998</v>
      </c>
      <c r="S30" s="31">
        <f t="shared" si="10"/>
        <v>707.02499999999998</v>
      </c>
      <c r="T30" s="31">
        <f t="shared" si="10"/>
        <v>1671.1499999999999</v>
      </c>
      <c r="U30" s="31">
        <f t="shared" si="10"/>
        <v>2699.5499999999997</v>
      </c>
      <c r="V30" s="31">
        <f t="shared" si="10"/>
        <v>2699.5499999999997</v>
      </c>
      <c r="W30" s="31">
        <f t="shared" si="10"/>
        <v>707.02499999999998</v>
      </c>
      <c r="X30" s="31">
        <f t="shared" si="10"/>
        <v>707.02499999999998</v>
      </c>
      <c r="Y30" s="31">
        <f t="shared" si="10"/>
        <v>707.02499999999998</v>
      </c>
      <c r="Z30" s="31">
        <f t="shared" si="10"/>
        <v>942.69999999999993</v>
      </c>
      <c r="AA30" s="31">
        <f t="shared" si="10"/>
        <v>707.02499999999998</v>
      </c>
      <c r="AB30" s="31">
        <f t="shared" si="10"/>
        <v>707.02499999999998</v>
      </c>
      <c r="AC30" s="31">
        <f t="shared" si="10"/>
        <v>707.02499999999998</v>
      </c>
      <c r="AD30" s="31">
        <f t="shared" si="10"/>
        <v>1028.4000000000001</v>
      </c>
      <c r="AE30" s="31">
        <f t="shared" si="10"/>
        <v>1028.4000000000001</v>
      </c>
      <c r="AF30" s="31">
        <f t="shared" si="10"/>
        <v>1799.7</v>
      </c>
      <c r="AG30" s="31">
        <f t="shared" si="10"/>
        <v>2828.1</v>
      </c>
      <c r="AH30" s="31">
        <f t="shared" si="10"/>
        <v>2828.1</v>
      </c>
      <c r="AI30" s="31">
        <f t="shared" si="10"/>
        <v>771.3</v>
      </c>
      <c r="AJ30" s="31">
        <f t="shared" si="10"/>
        <v>771.3</v>
      </c>
      <c r="AK30" s="31">
        <f t="shared" si="10"/>
        <v>771.3</v>
      </c>
      <c r="AL30" s="31">
        <f t="shared" si="10"/>
        <v>1028.4000000000001</v>
      </c>
      <c r="AM30" s="31">
        <f t="shared" si="10"/>
        <v>771.3</v>
      </c>
      <c r="AN30" s="31">
        <f t="shared" si="10"/>
        <v>771.3</v>
      </c>
      <c r="AO30" s="31">
        <f t="shared" si="10"/>
        <v>771.3</v>
      </c>
      <c r="AP30" s="31">
        <f t="shared" si="10"/>
        <v>1285.5</v>
      </c>
      <c r="AQ30" s="31">
        <f t="shared" si="10"/>
        <v>1028.4000000000001</v>
      </c>
      <c r="AR30" s="31">
        <f t="shared" si="10"/>
        <v>1799.7</v>
      </c>
      <c r="AS30" s="31">
        <f t="shared" si="10"/>
        <v>2828.1</v>
      </c>
      <c r="AT30" s="31">
        <f t="shared" si="10"/>
        <v>2828.1</v>
      </c>
      <c r="AU30" s="31">
        <f t="shared" si="10"/>
        <v>835.57499999999993</v>
      </c>
      <c r="AV30" s="31">
        <f t="shared" si="10"/>
        <v>835.57499999999993</v>
      </c>
      <c r="AW30" s="31">
        <f t="shared" si="10"/>
        <v>771.3</v>
      </c>
      <c r="AX30" s="31">
        <f t="shared" si="10"/>
        <v>1028.4000000000001</v>
      </c>
      <c r="AY30" s="31">
        <f t="shared" si="10"/>
        <v>771.3</v>
      </c>
      <c r="AZ30" s="31">
        <f t="shared" si="10"/>
        <v>771.3</v>
      </c>
      <c r="BA30" s="31">
        <f t="shared" si="10"/>
        <v>771.3</v>
      </c>
    </row>
    <row r="31" spans="2:53" ht="13" x14ac:dyDescent="0.3">
      <c r="B31" s="2" t="s">
        <v>91</v>
      </c>
      <c r="C31" s="28">
        <f>C22*C21</f>
        <v>0</v>
      </c>
      <c r="D31" s="28">
        <f>D22*D21</f>
        <v>0</v>
      </c>
      <c r="E31" s="25">
        <f>F31/4</f>
        <v>3535.125</v>
      </c>
      <c r="F31" s="32">
        <f t="shared" ref="F31:BA31" si="11">F22*F23</f>
        <v>14140.5</v>
      </c>
      <c r="G31" s="32">
        <f t="shared" si="11"/>
        <v>14140.5</v>
      </c>
      <c r="H31" s="32">
        <f t="shared" si="11"/>
        <v>14997.5</v>
      </c>
      <c r="I31" s="32">
        <f t="shared" si="11"/>
        <v>15854.5</v>
      </c>
      <c r="J31" s="32">
        <f t="shared" si="11"/>
        <v>15854.5</v>
      </c>
      <c r="K31" s="32">
        <f t="shared" si="11"/>
        <v>14140.5</v>
      </c>
      <c r="L31" s="32">
        <f t="shared" si="11"/>
        <v>14140.5</v>
      </c>
      <c r="M31" s="32">
        <f t="shared" si="11"/>
        <v>14140.5</v>
      </c>
      <c r="N31" s="32">
        <f t="shared" si="11"/>
        <v>14397.6</v>
      </c>
      <c r="O31" s="32">
        <f t="shared" si="11"/>
        <v>14140.5</v>
      </c>
      <c r="P31" s="32">
        <f t="shared" si="11"/>
        <v>14140.5</v>
      </c>
      <c r="Q31" s="32">
        <f t="shared" si="11"/>
        <v>14140.5</v>
      </c>
      <c r="R31" s="32">
        <f t="shared" si="11"/>
        <v>14419.025</v>
      </c>
      <c r="S31" s="32">
        <f t="shared" si="11"/>
        <v>14419.025</v>
      </c>
      <c r="T31" s="32">
        <f t="shared" si="11"/>
        <v>15383.15</v>
      </c>
      <c r="U31" s="32">
        <f t="shared" si="11"/>
        <v>16411.55</v>
      </c>
      <c r="V31" s="32">
        <f t="shared" si="11"/>
        <v>16411.55</v>
      </c>
      <c r="W31" s="32">
        <f t="shared" si="11"/>
        <v>14419.025</v>
      </c>
      <c r="X31" s="32">
        <f t="shared" si="11"/>
        <v>14419.025</v>
      </c>
      <c r="Y31" s="32">
        <f t="shared" si="11"/>
        <v>14419.025</v>
      </c>
      <c r="Z31" s="32">
        <f t="shared" si="11"/>
        <v>14654.699999999999</v>
      </c>
      <c r="AA31" s="32">
        <f t="shared" si="11"/>
        <v>14419.025</v>
      </c>
      <c r="AB31" s="32">
        <f t="shared" si="11"/>
        <v>14419.025</v>
      </c>
      <c r="AC31" s="32">
        <f t="shared" si="11"/>
        <v>14419.025</v>
      </c>
      <c r="AD31" s="32">
        <f t="shared" si="11"/>
        <v>15426</v>
      </c>
      <c r="AE31" s="32">
        <f t="shared" si="11"/>
        <v>15426</v>
      </c>
      <c r="AF31" s="32">
        <f t="shared" si="11"/>
        <v>16197.3</v>
      </c>
      <c r="AG31" s="32">
        <f t="shared" si="11"/>
        <v>17225.7</v>
      </c>
      <c r="AH31" s="32">
        <f t="shared" si="11"/>
        <v>17225.7</v>
      </c>
      <c r="AI31" s="32">
        <f t="shared" si="11"/>
        <v>15168.9</v>
      </c>
      <c r="AJ31" s="32">
        <f t="shared" si="11"/>
        <v>15168.9</v>
      </c>
      <c r="AK31" s="32">
        <f t="shared" si="11"/>
        <v>15168.9</v>
      </c>
      <c r="AL31" s="32">
        <f t="shared" si="11"/>
        <v>15426</v>
      </c>
      <c r="AM31" s="32">
        <f t="shared" si="11"/>
        <v>15168.9</v>
      </c>
      <c r="AN31" s="32">
        <f t="shared" si="11"/>
        <v>15168.9</v>
      </c>
      <c r="AO31" s="32">
        <f t="shared" si="11"/>
        <v>15168.9</v>
      </c>
      <c r="AP31" s="32">
        <f t="shared" si="11"/>
        <v>15683.1</v>
      </c>
      <c r="AQ31" s="32">
        <f t="shared" si="11"/>
        <v>15426</v>
      </c>
      <c r="AR31" s="32">
        <f t="shared" si="11"/>
        <v>16197.3</v>
      </c>
      <c r="AS31" s="32">
        <f t="shared" si="11"/>
        <v>17225.7</v>
      </c>
      <c r="AT31" s="32">
        <f t="shared" si="11"/>
        <v>17225.7</v>
      </c>
      <c r="AU31" s="32">
        <f t="shared" si="11"/>
        <v>15233.174999999999</v>
      </c>
      <c r="AV31" s="32">
        <f t="shared" si="11"/>
        <v>15233.174999999999</v>
      </c>
      <c r="AW31" s="32">
        <f t="shared" si="11"/>
        <v>15168.9</v>
      </c>
      <c r="AX31" s="32">
        <f t="shared" si="11"/>
        <v>15426</v>
      </c>
      <c r="AY31" s="32">
        <f t="shared" si="11"/>
        <v>15168.9</v>
      </c>
      <c r="AZ31" s="32">
        <f t="shared" si="11"/>
        <v>15168.9</v>
      </c>
      <c r="BA31" s="32">
        <f t="shared" si="11"/>
        <v>15168.9</v>
      </c>
    </row>
    <row r="32" spans="2:53" ht="13" x14ac:dyDescent="0.3">
      <c r="B32" s="2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</row>
    <row r="33" spans="2:53" x14ac:dyDescent="0.25">
      <c r="B33" s="1" t="s">
        <v>84</v>
      </c>
      <c r="C33" s="25">
        <f>C25+C10</f>
        <v>0</v>
      </c>
      <c r="D33" s="25">
        <f>D25+D10</f>
        <v>0</v>
      </c>
      <c r="E33" s="25">
        <f>E25+E10</f>
        <v>8200</v>
      </c>
      <c r="F33" s="25">
        <f t="shared" ref="F33:BA33" si="12">F10+F25+F29</f>
        <v>46512</v>
      </c>
      <c r="G33" s="25">
        <f t="shared" si="12"/>
        <v>46512</v>
      </c>
      <c r="H33" s="25">
        <f t="shared" si="12"/>
        <v>46512</v>
      </c>
      <c r="I33" s="25">
        <f t="shared" si="12"/>
        <v>46512</v>
      </c>
      <c r="J33" s="25">
        <f t="shared" si="12"/>
        <v>46512</v>
      </c>
      <c r="K33" s="25">
        <f t="shared" si="12"/>
        <v>46512</v>
      </c>
      <c r="L33" s="25">
        <f t="shared" si="12"/>
        <v>46512</v>
      </c>
      <c r="M33" s="25">
        <f t="shared" si="12"/>
        <v>46512</v>
      </c>
      <c r="N33" s="25">
        <f t="shared" si="12"/>
        <v>46512</v>
      </c>
      <c r="O33" s="25">
        <f t="shared" si="12"/>
        <v>46512</v>
      </c>
      <c r="P33" s="25">
        <f t="shared" si="12"/>
        <v>46512</v>
      </c>
      <c r="Q33" s="25">
        <f t="shared" si="12"/>
        <v>46512</v>
      </c>
      <c r="R33" s="25">
        <f t="shared" si="12"/>
        <v>48362</v>
      </c>
      <c r="S33" s="25">
        <f t="shared" si="12"/>
        <v>48362</v>
      </c>
      <c r="T33" s="25">
        <f t="shared" si="12"/>
        <v>48362</v>
      </c>
      <c r="U33" s="25">
        <f t="shared" si="12"/>
        <v>48362</v>
      </c>
      <c r="V33" s="25">
        <f t="shared" si="12"/>
        <v>48362</v>
      </c>
      <c r="W33" s="25">
        <f t="shared" si="12"/>
        <v>48362</v>
      </c>
      <c r="X33" s="25">
        <f t="shared" si="12"/>
        <v>48362</v>
      </c>
      <c r="Y33" s="25">
        <f t="shared" si="12"/>
        <v>48362</v>
      </c>
      <c r="Z33" s="25">
        <f t="shared" si="12"/>
        <v>48362</v>
      </c>
      <c r="AA33" s="25">
        <f t="shared" si="12"/>
        <v>48362</v>
      </c>
      <c r="AB33" s="25">
        <f t="shared" si="12"/>
        <v>48362</v>
      </c>
      <c r="AC33" s="25">
        <f t="shared" si="12"/>
        <v>48362</v>
      </c>
      <c r="AD33" s="25">
        <f t="shared" si="12"/>
        <v>50947.6</v>
      </c>
      <c r="AE33" s="25">
        <f t="shared" si="12"/>
        <v>50947.6</v>
      </c>
      <c r="AF33" s="25">
        <f t="shared" si="12"/>
        <v>50947.6</v>
      </c>
      <c r="AG33" s="25">
        <f t="shared" si="12"/>
        <v>50947.6</v>
      </c>
      <c r="AH33" s="25">
        <f t="shared" si="12"/>
        <v>50947.6</v>
      </c>
      <c r="AI33" s="25">
        <f t="shared" si="12"/>
        <v>50947.6</v>
      </c>
      <c r="AJ33" s="25">
        <f t="shared" si="12"/>
        <v>50947.6</v>
      </c>
      <c r="AK33" s="25">
        <f t="shared" si="12"/>
        <v>50947.6</v>
      </c>
      <c r="AL33" s="25">
        <f t="shared" si="12"/>
        <v>50947.6</v>
      </c>
      <c r="AM33" s="25">
        <f t="shared" si="12"/>
        <v>50947.6</v>
      </c>
      <c r="AN33" s="25">
        <f t="shared" si="12"/>
        <v>50947.6</v>
      </c>
      <c r="AO33" s="25">
        <f t="shared" si="12"/>
        <v>50947.6</v>
      </c>
      <c r="AP33" s="25">
        <f t="shared" si="12"/>
        <v>52897.599999999999</v>
      </c>
      <c r="AQ33" s="25">
        <f t="shared" si="12"/>
        <v>52897.599999999999</v>
      </c>
      <c r="AR33" s="25">
        <f t="shared" si="12"/>
        <v>52897.599999999999</v>
      </c>
      <c r="AS33" s="25">
        <f t="shared" si="12"/>
        <v>52897.599999999999</v>
      </c>
      <c r="AT33" s="25">
        <f t="shared" si="12"/>
        <v>52897.599999999999</v>
      </c>
      <c r="AU33" s="25">
        <f t="shared" si="12"/>
        <v>52897.599999999999</v>
      </c>
      <c r="AV33" s="25">
        <f t="shared" si="12"/>
        <v>52897.599999999999</v>
      </c>
      <c r="AW33" s="25">
        <f t="shared" si="12"/>
        <v>52897.599999999999</v>
      </c>
      <c r="AX33" s="25">
        <f t="shared" si="12"/>
        <v>52897.599999999999</v>
      </c>
      <c r="AY33" s="25">
        <f t="shared" si="12"/>
        <v>52897.599999999999</v>
      </c>
      <c r="AZ33" s="25">
        <f t="shared" si="12"/>
        <v>52897.599999999999</v>
      </c>
      <c r="BA33" s="25">
        <f t="shared" si="12"/>
        <v>52897.599999999999</v>
      </c>
    </row>
    <row r="34" spans="2:53" x14ac:dyDescent="0.25">
      <c r="B34" s="1" t="s">
        <v>85</v>
      </c>
      <c r="C34" s="25">
        <f>C26+C15</f>
        <v>0</v>
      </c>
      <c r="D34" s="25">
        <f>D26+D15</f>
        <v>0</v>
      </c>
      <c r="E34" s="25">
        <f>E26+E15</f>
        <v>250</v>
      </c>
      <c r="F34" s="25">
        <f t="shared" ref="F34:BA34" si="13">F11+F26+F30</f>
        <v>1428.5</v>
      </c>
      <c r="G34" s="25">
        <f t="shared" si="13"/>
        <v>1428.5</v>
      </c>
      <c r="H34" s="25">
        <f t="shared" si="13"/>
        <v>4285.5</v>
      </c>
      <c r="I34" s="25">
        <f t="shared" si="13"/>
        <v>7142.5</v>
      </c>
      <c r="J34" s="25">
        <f t="shared" si="13"/>
        <v>7142.5</v>
      </c>
      <c r="K34" s="25">
        <f t="shared" si="13"/>
        <v>1428.5</v>
      </c>
      <c r="L34" s="25">
        <f t="shared" si="13"/>
        <v>1428.5</v>
      </c>
      <c r="M34" s="25">
        <f t="shared" si="13"/>
        <v>1428.5</v>
      </c>
      <c r="N34" s="25">
        <f t="shared" si="13"/>
        <v>2285.6</v>
      </c>
      <c r="O34" s="25">
        <f t="shared" si="13"/>
        <v>1428.5</v>
      </c>
      <c r="P34" s="25">
        <f t="shared" si="13"/>
        <v>1428.5</v>
      </c>
      <c r="Q34" s="25">
        <f t="shared" si="13"/>
        <v>1428.5</v>
      </c>
      <c r="R34" s="25">
        <f t="shared" si="13"/>
        <v>2357.0250000000001</v>
      </c>
      <c r="S34" s="25">
        <f t="shared" si="13"/>
        <v>2357.0250000000001</v>
      </c>
      <c r="T34" s="25">
        <f t="shared" si="13"/>
        <v>5571.15</v>
      </c>
      <c r="U34" s="25">
        <f t="shared" si="13"/>
        <v>8999.5499999999993</v>
      </c>
      <c r="V34" s="25">
        <f t="shared" si="13"/>
        <v>8999.5499999999993</v>
      </c>
      <c r="W34" s="25">
        <f t="shared" si="13"/>
        <v>2357.0250000000001</v>
      </c>
      <c r="X34" s="25">
        <f t="shared" si="13"/>
        <v>2357.0250000000001</v>
      </c>
      <c r="Y34" s="25">
        <f t="shared" si="13"/>
        <v>2357.0250000000001</v>
      </c>
      <c r="Z34" s="25">
        <f t="shared" si="13"/>
        <v>3142.7</v>
      </c>
      <c r="AA34" s="25">
        <f t="shared" si="13"/>
        <v>2357.0250000000001</v>
      </c>
      <c r="AB34" s="25">
        <f t="shared" si="13"/>
        <v>2357.0250000000001</v>
      </c>
      <c r="AC34" s="25">
        <f t="shared" si="13"/>
        <v>2357.0250000000001</v>
      </c>
      <c r="AD34" s="25">
        <f t="shared" si="13"/>
        <v>3428.4</v>
      </c>
      <c r="AE34" s="25">
        <f t="shared" si="13"/>
        <v>3428.4</v>
      </c>
      <c r="AF34" s="25">
        <f t="shared" si="13"/>
        <v>5999.7</v>
      </c>
      <c r="AG34" s="25">
        <f t="shared" si="13"/>
        <v>9428.1</v>
      </c>
      <c r="AH34" s="25">
        <f t="shared" si="13"/>
        <v>9428.1</v>
      </c>
      <c r="AI34" s="25">
        <f t="shared" si="13"/>
        <v>2571.3000000000002</v>
      </c>
      <c r="AJ34" s="25">
        <f t="shared" si="13"/>
        <v>2571.3000000000002</v>
      </c>
      <c r="AK34" s="25">
        <f t="shared" si="13"/>
        <v>2571.3000000000002</v>
      </c>
      <c r="AL34" s="25">
        <f t="shared" si="13"/>
        <v>3428.4</v>
      </c>
      <c r="AM34" s="25">
        <f t="shared" si="13"/>
        <v>2571.3000000000002</v>
      </c>
      <c r="AN34" s="25">
        <f t="shared" si="13"/>
        <v>2571.3000000000002</v>
      </c>
      <c r="AO34" s="25">
        <f t="shared" si="13"/>
        <v>2571.3000000000002</v>
      </c>
      <c r="AP34" s="25">
        <f t="shared" si="13"/>
        <v>4285.5</v>
      </c>
      <c r="AQ34" s="25">
        <f t="shared" si="13"/>
        <v>3428.4</v>
      </c>
      <c r="AR34" s="25">
        <f t="shared" si="13"/>
        <v>5999.7</v>
      </c>
      <c r="AS34" s="25">
        <f t="shared" si="13"/>
        <v>9428.1</v>
      </c>
      <c r="AT34" s="25">
        <f t="shared" si="13"/>
        <v>9428.1</v>
      </c>
      <c r="AU34" s="25">
        <f t="shared" si="13"/>
        <v>2785.5749999999998</v>
      </c>
      <c r="AV34" s="25">
        <f t="shared" si="13"/>
        <v>2785.5749999999998</v>
      </c>
      <c r="AW34" s="25">
        <f t="shared" si="13"/>
        <v>2571.3000000000002</v>
      </c>
      <c r="AX34" s="25">
        <f t="shared" si="13"/>
        <v>3428.4</v>
      </c>
      <c r="AY34" s="25">
        <f t="shared" si="13"/>
        <v>2571.3000000000002</v>
      </c>
      <c r="AZ34" s="25">
        <f t="shared" si="13"/>
        <v>2571.3000000000002</v>
      </c>
      <c r="BA34" s="25">
        <f t="shared" si="13"/>
        <v>2571.3000000000002</v>
      </c>
    </row>
    <row r="35" spans="2:53" ht="13" x14ac:dyDescent="0.3">
      <c r="B35" s="2" t="s">
        <v>92</v>
      </c>
      <c r="C35" s="28">
        <f>C12+C27</f>
        <v>0</v>
      </c>
      <c r="D35" s="28">
        <f>D12+D27</f>
        <v>0</v>
      </c>
      <c r="E35" s="28">
        <v>47000</v>
      </c>
      <c r="F35" s="28">
        <f t="shared" ref="F35:BA35" si="14">F12+F27+F31</f>
        <v>47940.5</v>
      </c>
      <c r="G35" s="28">
        <f t="shared" si="14"/>
        <v>47940.5</v>
      </c>
      <c r="H35" s="28">
        <f t="shared" si="14"/>
        <v>50797.5</v>
      </c>
      <c r="I35" s="28">
        <f t="shared" si="14"/>
        <v>53654.5</v>
      </c>
      <c r="J35" s="28">
        <f t="shared" si="14"/>
        <v>53654.5</v>
      </c>
      <c r="K35" s="28">
        <f t="shared" si="14"/>
        <v>47940.5</v>
      </c>
      <c r="L35" s="28">
        <f t="shared" si="14"/>
        <v>47940.5</v>
      </c>
      <c r="M35" s="28">
        <f t="shared" si="14"/>
        <v>47940.5</v>
      </c>
      <c r="N35" s="28">
        <f t="shared" si="14"/>
        <v>48797.599999999999</v>
      </c>
      <c r="O35" s="28">
        <f t="shared" si="14"/>
        <v>47940.5</v>
      </c>
      <c r="P35" s="28">
        <f t="shared" si="14"/>
        <v>47940.5</v>
      </c>
      <c r="Q35" s="28">
        <f t="shared" si="14"/>
        <v>47940.5</v>
      </c>
      <c r="R35" s="28">
        <f t="shared" si="14"/>
        <v>50719.025000000001</v>
      </c>
      <c r="S35" s="28">
        <f t="shared" si="14"/>
        <v>50719.025000000001</v>
      </c>
      <c r="T35" s="28">
        <f t="shared" si="14"/>
        <v>53933.15</v>
      </c>
      <c r="U35" s="28">
        <f t="shared" si="14"/>
        <v>57361.55</v>
      </c>
      <c r="V35" s="28">
        <f t="shared" si="14"/>
        <v>57361.55</v>
      </c>
      <c r="W35" s="28">
        <f t="shared" si="14"/>
        <v>50719.025000000001</v>
      </c>
      <c r="X35" s="28">
        <f t="shared" si="14"/>
        <v>50719.025000000001</v>
      </c>
      <c r="Y35" s="28">
        <f t="shared" si="14"/>
        <v>50719.025000000001</v>
      </c>
      <c r="Z35" s="28">
        <f t="shared" si="14"/>
        <v>51504.7</v>
      </c>
      <c r="AA35" s="28">
        <f t="shared" si="14"/>
        <v>50719.025000000001</v>
      </c>
      <c r="AB35" s="28">
        <f t="shared" si="14"/>
        <v>50719.025000000001</v>
      </c>
      <c r="AC35" s="28">
        <f t="shared" si="14"/>
        <v>50719.025000000001</v>
      </c>
      <c r="AD35" s="28">
        <f t="shared" si="14"/>
        <v>54376</v>
      </c>
      <c r="AE35" s="28">
        <f t="shared" si="14"/>
        <v>54376</v>
      </c>
      <c r="AF35" s="28">
        <f t="shared" si="14"/>
        <v>56947.3</v>
      </c>
      <c r="AG35" s="28">
        <f t="shared" si="14"/>
        <v>60375.7</v>
      </c>
      <c r="AH35" s="28">
        <f t="shared" si="14"/>
        <v>60375.7</v>
      </c>
      <c r="AI35" s="28">
        <f t="shared" si="14"/>
        <v>53518.9</v>
      </c>
      <c r="AJ35" s="28">
        <f t="shared" si="14"/>
        <v>53518.9</v>
      </c>
      <c r="AK35" s="28">
        <f t="shared" si="14"/>
        <v>53518.9</v>
      </c>
      <c r="AL35" s="28">
        <f t="shared" si="14"/>
        <v>54376</v>
      </c>
      <c r="AM35" s="28">
        <f t="shared" si="14"/>
        <v>53518.9</v>
      </c>
      <c r="AN35" s="28">
        <f t="shared" si="14"/>
        <v>53518.9</v>
      </c>
      <c r="AO35" s="28">
        <f t="shared" si="14"/>
        <v>53518.9</v>
      </c>
      <c r="AP35" s="28">
        <f t="shared" si="14"/>
        <v>57183.1</v>
      </c>
      <c r="AQ35" s="28">
        <f t="shared" si="14"/>
        <v>56326</v>
      </c>
      <c r="AR35" s="28">
        <f t="shared" si="14"/>
        <v>58897.3</v>
      </c>
      <c r="AS35" s="28">
        <f t="shared" si="14"/>
        <v>62325.7</v>
      </c>
      <c r="AT35" s="28">
        <f t="shared" si="14"/>
        <v>62325.7</v>
      </c>
      <c r="AU35" s="28">
        <f t="shared" si="14"/>
        <v>55683.175000000003</v>
      </c>
      <c r="AV35" s="28">
        <f t="shared" si="14"/>
        <v>55683.175000000003</v>
      </c>
      <c r="AW35" s="28">
        <f t="shared" si="14"/>
        <v>55468.9</v>
      </c>
      <c r="AX35" s="28">
        <f t="shared" si="14"/>
        <v>56326</v>
      </c>
      <c r="AY35" s="28">
        <f t="shared" si="14"/>
        <v>55468.9</v>
      </c>
      <c r="AZ35" s="28">
        <f t="shared" si="14"/>
        <v>55468.9</v>
      </c>
      <c r="BA35" s="28">
        <f t="shared" si="14"/>
        <v>55468.9</v>
      </c>
    </row>
    <row r="37" spans="2:53" ht="13" x14ac:dyDescent="0.3">
      <c r="B37" s="2" t="s">
        <v>93</v>
      </c>
      <c r="C37" s="25">
        <f>'P_L Variables'!L193</f>
        <v>0</v>
      </c>
      <c r="D37" s="25">
        <f>'P_L Variables'!M193</f>
        <v>0</v>
      </c>
      <c r="E37" s="25">
        <v>7</v>
      </c>
      <c r="F37" s="25">
        <f>'P_L Variables'!C194</f>
        <v>29</v>
      </c>
      <c r="G37" s="25">
        <f>'P_L Variables'!D194</f>
        <v>31</v>
      </c>
      <c r="H37" s="25">
        <f>'P_L Variables'!E194</f>
        <v>30</v>
      </c>
      <c r="I37" s="25">
        <f>'P_L Variables'!F194</f>
        <v>31</v>
      </c>
      <c r="J37" s="25">
        <f>'P_L Variables'!G194</f>
        <v>31</v>
      </c>
      <c r="K37" s="25">
        <f>'P_L Variables'!H194</f>
        <v>30</v>
      </c>
      <c r="L37" s="25">
        <f>'P_L Variables'!I194</f>
        <v>31</v>
      </c>
      <c r="M37" s="25">
        <f>'P_L Variables'!J194</f>
        <v>29</v>
      </c>
      <c r="N37" s="25">
        <f>'P_L Variables'!K194</f>
        <v>31</v>
      </c>
      <c r="O37" s="25">
        <f>'P_L Variables'!L194</f>
        <v>19</v>
      </c>
      <c r="P37" s="25">
        <f>'P_L Variables'!M194</f>
        <v>27</v>
      </c>
      <c r="Q37" s="25">
        <f>'P_L Variables'!N194</f>
        <v>31</v>
      </c>
      <c r="R37" s="25">
        <f>'P_L Variables'!C195</f>
        <v>29</v>
      </c>
      <c r="S37" s="25">
        <f>'P_L Variables'!D195</f>
        <v>31</v>
      </c>
      <c r="T37" s="25">
        <f>'P_L Variables'!E195</f>
        <v>30</v>
      </c>
      <c r="U37" s="25">
        <f>'P_L Variables'!F195</f>
        <v>31</v>
      </c>
      <c r="V37" s="25">
        <f>'P_L Variables'!G195</f>
        <v>31</v>
      </c>
      <c r="W37" s="25">
        <f>'P_L Variables'!H195</f>
        <v>30</v>
      </c>
      <c r="X37" s="25">
        <f>'P_L Variables'!I195</f>
        <v>31</v>
      </c>
      <c r="Y37" s="25">
        <f>'P_L Variables'!J195</f>
        <v>29</v>
      </c>
      <c r="Z37" s="25">
        <f>'P_L Variables'!K195</f>
        <v>31</v>
      </c>
      <c r="AA37" s="25">
        <f>'P_L Variables'!L195</f>
        <v>18</v>
      </c>
      <c r="AB37" s="25">
        <f>'P_L Variables'!M195</f>
        <v>28</v>
      </c>
      <c r="AC37" s="25">
        <f>'P_L Variables'!N195</f>
        <v>31</v>
      </c>
      <c r="AD37" s="25">
        <f>'P_L Variables'!C196</f>
        <v>29</v>
      </c>
      <c r="AE37" s="25">
        <f>'P_L Variables'!D196</f>
        <v>31</v>
      </c>
      <c r="AF37" s="25">
        <f>'P_L Variables'!E196</f>
        <v>30</v>
      </c>
      <c r="AG37" s="25">
        <f>'P_L Variables'!F196</f>
        <v>31</v>
      </c>
      <c r="AH37" s="25">
        <f>'P_L Variables'!G196</f>
        <v>31</v>
      </c>
      <c r="AI37" s="25">
        <f>'P_L Variables'!H196</f>
        <v>30</v>
      </c>
      <c r="AJ37" s="25">
        <f>'P_L Variables'!I196</f>
        <v>31</v>
      </c>
      <c r="AK37" s="25">
        <f>'P_L Variables'!J196</f>
        <v>29</v>
      </c>
      <c r="AL37" s="25">
        <f>'P_L Variables'!K196</f>
        <v>31</v>
      </c>
      <c r="AM37" s="25">
        <f>'P_L Variables'!L196</f>
        <v>19</v>
      </c>
      <c r="AN37" s="25">
        <f>'P_L Variables'!M196</f>
        <v>27</v>
      </c>
      <c r="AO37" s="25">
        <f>'P_L Variables'!N196</f>
        <v>31</v>
      </c>
      <c r="AP37" s="25">
        <f>'P_L Variables'!C197</f>
        <v>29</v>
      </c>
      <c r="AQ37" s="25">
        <f>'P_L Variables'!D197</f>
        <v>31</v>
      </c>
      <c r="AR37" s="25">
        <f>'P_L Variables'!E197</f>
        <v>30</v>
      </c>
      <c r="AS37" s="25">
        <f>'P_L Variables'!F197</f>
        <v>31</v>
      </c>
      <c r="AT37" s="25">
        <f>'P_L Variables'!G197</f>
        <v>31</v>
      </c>
      <c r="AU37" s="25">
        <f>'P_L Variables'!H197</f>
        <v>30</v>
      </c>
      <c r="AV37" s="25">
        <f>'P_L Variables'!I197</f>
        <v>31</v>
      </c>
      <c r="AW37" s="25">
        <f>'P_L Variables'!J197</f>
        <v>29</v>
      </c>
      <c r="AX37" s="25">
        <f>'P_L Variables'!K197</f>
        <v>31</v>
      </c>
      <c r="AY37" s="25">
        <f>'P_L Variables'!L197</f>
        <v>19</v>
      </c>
      <c r="AZ37" s="25">
        <f>'P_L Variables'!M197</f>
        <v>27</v>
      </c>
      <c r="BA37" s="25">
        <f>'P_L Variables'!N197</f>
        <v>31</v>
      </c>
    </row>
    <row r="39" spans="2:53" x14ac:dyDescent="0.25">
      <c r="B39" s="34" t="s">
        <v>83</v>
      </c>
      <c r="C39" s="25">
        <f t="shared" ref="C39:AH39" si="15">C12*C37</f>
        <v>0</v>
      </c>
      <c r="D39" s="25">
        <f t="shared" si="15"/>
        <v>0</v>
      </c>
      <c r="E39" s="25">
        <f t="shared" si="15"/>
        <v>29575</v>
      </c>
      <c r="F39" s="25">
        <f t="shared" si="15"/>
        <v>490100</v>
      </c>
      <c r="G39" s="25">
        <f t="shared" si="15"/>
        <v>523900</v>
      </c>
      <c r="H39" s="25">
        <f t="shared" si="15"/>
        <v>537000</v>
      </c>
      <c r="I39" s="25">
        <f t="shared" si="15"/>
        <v>585900</v>
      </c>
      <c r="J39" s="25">
        <f t="shared" si="15"/>
        <v>585900</v>
      </c>
      <c r="K39" s="25">
        <f t="shared" si="15"/>
        <v>507000</v>
      </c>
      <c r="L39" s="25">
        <f t="shared" si="15"/>
        <v>523900</v>
      </c>
      <c r="M39" s="25">
        <f t="shared" si="15"/>
        <v>490100</v>
      </c>
      <c r="N39" s="25">
        <f t="shared" si="15"/>
        <v>533200</v>
      </c>
      <c r="O39" s="25">
        <f t="shared" si="15"/>
        <v>321100</v>
      </c>
      <c r="P39" s="25">
        <f t="shared" si="15"/>
        <v>456300</v>
      </c>
      <c r="Q39" s="25">
        <f t="shared" si="15"/>
        <v>523900</v>
      </c>
      <c r="R39" s="25">
        <f t="shared" si="15"/>
        <v>541575</v>
      </c>
      <c r="S39" s="25">
        <f t="shared" si="15"/>
        <v>578925</v>
      </c>
      <c r="T39" s="25">
        <f t="shared" si="15"/>
        <v>594000</v>
      </c>
      <c r="U39" s="25">
        <f t="shared" si="15"/>
        <v>651000</v>
      </c>
      <c r="V39" s="25">
        <f t="shared" si="15"/>
        <v>651000</v>
      </c>
      <c r="W39" s="25">
        <f t="shared" si="15"/>
        <v>560250</v>
      </c>
      <c r="X39" s="25">
        <f t="shared" si="15"/>
        <v>578925</v>
      </c>
      <c r="Y39" s="25">
        <f t="shared" si="15"/>
        <v>541575</v>
      </c>
      <c r="Z39" s="25">
        <f t="shared" si="15"/>
        <v>587450</v>
      </c>
      <c r="AA39" s="25">
        <f t="shared" si="15"/>
        <v>336150</v>
      </c>
      <c r="AB39" s="25">
        <f t="shared" si="15"/>
        <v>522900</v>
      </c>
      <c r="AC39" s="25">
        <f t="shared" si="15"/>
        <v>578925</v>
      </c>
      <c r="AD39" s="25">
        <f t="shared" si="15"/>
        <v>595950</v>
      </c>
      <c r="AE39" s="25">
        <f t="shared" si="15"/>
        <v>637050</v>
      </c>
      <c r="AF39" s="25">
        <f t="shared" si="15"/>
        <v>643500</v>
      </c>
      <c r="AG39" s="25">
        <f t="shared" si="15"/>
        <v>702150</v>
      </c>
      <c r="AH39" s="25">
        <f t="shared" si="15"/>
        <v>702150</v>
      </c>
      <c r="AI39" s="25">
        <f t="shared" ref="AI39:BA39" si="16">AI12*AI37</f>
        <v>607500</v>
      </c>
      <c r="AJ39" s="25">
        <f t="shared" si="16"/>
        <v>627750</v>
      </c>
      <c r="AK39" s="25">
        <f t="shared" si="16"/>
        <v>587250</v>
      </c>
      <c r="AL39" s="25">
        <f t="shared" si="16"/>
        <v>637050</v>
      </c>
      <c r="AM39" s="25">
        <f t="shared" si="16"/>
        <v>384750</v>
      </c>
      <c r="AN39" s="25">
        <f t="shared" si="16"/>
        <v>546750</v>
      </c>
      <c r="AO39" s="25">
        <f t="shared" si="16"/>
        <v>627750</v>
      </c>
      <c r="AP39" s="25">
        <f t="shared" si="16"/>
        <v>649600</v>
      </c>
      <c r="AQ39" s="25">
        <f t="shared" si="16"/>
        <v>685100</v>
      </c>
      <c r="AR39" s="25">
        <f t="shared" si="16"/>
        <v>690000</v>
      </c>
      <c r="AS39" s="25">
        <f t="shared" si="16"/>
        <v>750200</v>
      </c>
      <c r="AT39" s="25">
        <f t="shared" si="16"/>
        <v>750200</v>
      </c>
      <c r="AU39" s="25">
        <f t="shared" si="16"/>
        <v>656250</v>
      </c>
      <c r="AV39" s="25">
        <f t="shared" si="16"/>
        <v>678125</v>
      </c>
      <c r="AW39" s="25">
        <f t="shared" si="16"/>
        <v>632200</v>
      </c>
      <c r="AX39" s="25">
        <f t="shared" si="16"/>
        <v>685100</v>
      </c>
      <c r="AY39" s="25">
        <f t="shared" si="16"/>
        <v>414200</v>
      </c>
      <c r="AZ39" s="25">
        <f t="shared" si="16"/>
        <v>588600</v>
      </c>
      <c r="BA39" s="25">
        <f t="shared" si="16"/>
        <v>675800</v>
      </c>
    </row>
    <row r="40" spans="2:53" x14ac:dyDescent="0.25">
      <c r="B40" s="34" t="s">
        <v>86</v>
      </c>
      <c r="C40" s="25">
        <f>C27*C37</f>
        <v>0</v>
      </c>
      <c r="D40" s="25">
        <f>D27*D37</f>
        <v>0</v>
      </c>
      <c r="E40" s="25">
        <f>F40/4</f>
        <v>122525</v>
      </c>
      <c r="F40" s="25">
        <f t="shared" ref="F40:BA40" si="17">F27*F37</f>
        <v>490100</v>
      </c>
      <c r="G40" s="25">
        <f t="shared" si="17"/>
        <v>523900</v>
      </c>
      <c r="H40" s="25">
        <f t="shared" si="17"/>
        <v>537000</v>
      </c>
      <c r="I40" s="25">
        <f t="shared" si="17"/>
        <v>585900</v>
      </c>
      <c r="J40" s="25">
        <f t="shared" si="17"/>
        <v>585900</v>
      </c>
      <c r="K40" s="25">
        <f t="shared" si="17"/>
        <v>507000</v>
      </c>
      <c r="L40" s="25">
        <f t="shared" si="17"/>
        <v>523900</v>
      </c>
      <c r="M40" s="25">
        <f t="shared" si="17"/>
        <v>490100</v>
      </c>
      <c r="N40" s="25">
        <f t="shared" si="17"/>
        <v>533200</v>
      </c>
      <c r="O40" s="25">
        <f t="shared" si="17"/>
        <v>321100</v>
      </c>
      <c r="P40" s="25">
        <f t="shared" si="17"/>
        <v>456300</v>
      </c>
      <c r="Q40" s="25">
        <f t="shared" si="17"/>
        <v>523900</v>
      </c>
      <c r="R40" s="25">
        <f t="shared" si="17"/>
        <v>511125</v>
      </c>
      <c r="S40" s="25">
        <f t="shared" si="17"/>
        <v>546375</v>
      </c>
      <c r="T40" s="25">
        <f t="shared" si="17"/>
        <v>562500</v>
      </c>
      <c r="U40" s="25">
        <f t="shared" si="17"/>
        <v>618450</v>
      </c>
      <c r="V40" s="25">
        <f t="shared" si="17"/>
        <v>618450</v>
      </c>
      <c r="W40" s="25">
        <f t="shared" si="17"/>
        <v>528750</v>
      </c>
      <c r="X40" s="25">
        <f t="shared" si="17"/>
        <v>546375</v>
      </c>
      <c r="Y40" s="25">
        <f t="shared" si="17"/>
        <v>511125</v>
      </c>
      <c r="Z40" s="25">
        <f t="shared" si="17"/>
        <v>554900</v>
      </c>
      <c r="AA40" s="25">
        <f t="shared" si="17"/>
        <v>317250</v>
      </c>
      <c r="AB40" s="25">
        <f t="shared" si="17"/>
        <v>493500</v>
      </c>
      <c r="AC40" s="25">
        <f t="shared" si="17"/>
        <v>546375</v>
      </c>
      <c r="AD40" s="25">
        <f t="shared" si="17"/>
        <v>533600</v>
      </c>
      <c r="AE40" s="25">
        <f t="shared" si="17"/>
        <v>570400</v>
      </c>
      <c r="AF40" s="25">
        <f t="shared" si="17"/>
        <v>579000</v>
      </c>
      <c r="AG40" s="25">
        <f t="shared" si="17"/>
        <v>635500</v>
      </c>
      <c r="AH40" s="25">
        <f t="shared" si="17"/>
        <v>635500</v>
      </c>
      <c r="AI40" s="25">
        <f t="shared" si="17"/>
        <v>543000</v>
      </c>
      <c r="AJ40" s="25">
        <f t="shared" si="17"/>
        <v>561100</v>
      </c>
      <c r="AK40" s="25">
        <f t="shared" si="17"/>
        <v>524900</v>
      </c>
      <c r="AL40" s="25">
        <f t="shared" si="17"/>
        <v>570400</v>
      </c>
      <c r="AM40" s="25">
        <f t="shared" si="17"/>
        <v>343900</v>
      </c>
      <c r="AN40" s="25">
        <f t="shared" si="17"/>
        <v>488700</v>
      </c>
      <c r="AO40" s="25">
        <f t="shared" si="17"/>
        <v>561100</v>
      </c>
      <c r="AP40" s="25">
        <f t="shared" si="17"/>
        <v>553900</v>
      </c>
      <c r="AQ40" s="25">
        <f t="shared" si="17"/>
        <v>582800</v>
      </c>
      <c r="AR40" s="25">
        <f t="shared" si="17"/>
        <v>591000</v>
      </c>
      <c r="AS40" s="25">
        <f t="shared" si="17"/>
        <v>647900</v>
      </c>
      <c r="AT40" s="25">
        <f t="shared" si="17"/>
        <v>647900</v>
      </c>
      <c r="AU40" s="25">
        <f t="shared" si="17"/>
        <v>557250</v>
      </c>
      <c r="AV40" s="25">
        <f t="shared" si="17"/>
        <v>575825</v>
      </c>
      <c r="AW40" s="25">
        <f t="shared" si="17"/>
        <v>536500</v>
      </c>
      <c r="AX40" s="25">
        <f t="shared" si="17"/>
        <v>582800</v>
      </c>
      <c r="AY40" s="25">
        <f t="shared" si="17"/>
        <v>351500</v>
      </c>
      <c r="AZ40" s="25">
        <f t="shared" si="17"/>
        <v>499500</v>
      </c>
      <c r="BA40" s="25">
        <f t="shared" si="17"/>
        <v>573500</v>
      </c>
    </row>
    <row r="41" spans="2:53" x14ac:dyDescent="0.25">
      <c r="B41" s="34" t="s">
        <v>88</v>
      </c>
      <c r="E41" s="25">
        <f>F41/4</f>
        <v>102518.625</v>
      </c>
      <c r="F41" s="25">
        <f t="shared" ref="F41:BA41" si="18">F31*F37</f>
        <v>410074.5</v>
      </c>
      <c r="G41" s="25">
        <f t="shared" si="18"/>
        <v>438355.5</v>
      </c>
      <c r="H41" s="25">
        <f t="shared" si="18"/>
        <v>449925</v>
      </c>
      <c r="I41" s="25">
        <f t="shared" si="18"/>
        <v>491489.5</v>
      </c>
      <c r="J41" s="25">
        <f t="shared" si="18"/>
        <v>491489.5</v>
      </c>
      <c r="K41" s="25">
        <f t="shared" si="18"/>
        <v>424215</v>
      </c>
      <c r="L41" s="25">
        <f t="shared" si="18"/>
        <v>438355.5</v>
      </c>
      <c r="M41" s="25">
        <f t="shared" si="18"/>
        <v>410074.5</v>
      </c>
      <c r="N41" s="25">
        <f t="shared" si="18"/>
        <v>446325.60000000003</v>
      </c>
      <c r="O41" s="25">
        <f t="shared" si="18"/>
        <v>268669.5</v>
      </c>
      <c r="P41" s="25">
        <f t="shared" si="18"/>
        <v>381793.5</v>
      </c>
      <c r="Q41" s="25">
        <f t="shared" si="18"/>
        <v>438355.5</v>
      </c>
      <c r="R41" s="25">
        <f t="shared" si="18"/>
        <v>418151.72499999998</v>
      </c>
      <c r="S41" s="25">
        <f t="shared" si="18"/>
        <v>446989.77499999997</v>
      </c>
      <c r="T41" s="25">
        <f t="shared" si="18"/>
        <v>461494.5</v>
      </c>
      <c r="U41" s="25">
        <f t="shared" si="18"/>
        <v>508758.05</v>
      </c>
      <c r="V41" s="25">
        <f t="shared" si="18"/>
        <v>508758.05</v>
      </c>
      <c r="W41" s="25">
        <f t="shared" si="18"/>
        <v>432570.75</v>
      </c>
      <c r="X41" s="25">
        <f t="shared" si="18"/>
        <v>446989.77499999997</v>
      </c>
      <c r="Y41" s="25">
        <f t="shared" si="18"/>
        <v>418151.72499999998</v>
      </c>
      <c r="Z41" s="25">
        <f t="shared" si="18"/>
        <v>454295.69999999995</v>
      </c>
      <c r="AA41" s="25">
        <f t="shared" si="18"/>
        <v>259542.44999999998</v>
      </c>
      <c r="AB41" s="25">
        <f t="shared" si="18"/>
        <v>403732.7</v>
      </c>
      <c r="AC41" s="25">
        <f t="shared" si="18"/>
        <v>446989.77499999997</v>
      </c>
      <c r="AD41" s="25">
        <f t="shared" si="18"/>
        <v>447354</v>
      </c>
      <c r="AE41" s="25">
        <f t="shared" si="18"/>
        <v>478206</v>
      </c>
      <c r="AF41" s="25">
        <f t="shared" si="18"/>
        <v>485919</v>
      </c>
      <c r="AG41" s="25">
        <f t="shared" si="18"/>
        <v>533996.70000000007</v>
      </c>
      <c r="AH41" s="25">
        <f t="shared" si="18"/>
        <v>533996.70000000007</v>
      </c>
      <c r="AI41" s="25">
        <f t="shared" si="18"/>
        <v>455067</v>
      </c>
      <c r="AJ41" s="25">
        <f t="shared" si="18"/>
        <v>470235.89999999997</v>
      </c>
      <c r="AK41" s="25">
        <f t="shared" si="18"/>
        <v>439898.1</v>
      </c>
      <c r="AL41" s="25">
        <f t="shared" si="18"/>
        <v>478206</v>
      </c>
      <c r="AM41" s="25">
        <f t="shared" si="18"/>
        <v>288209.09999999998</v>
      </c>
      <c r="AN41" s="25">
        <f t="shared" si="18"/>
        <v>409560.3</v>
      </c>
      <c r="AO41" s="25">
        <f t="shared" si="18"/>
        <v>470235.89999999997</v>
      </c>
      <c r="AP41" s="25">
        <f t="shared" si="18"/>
        <v>454809.9</v>
      </c>
      <c r="AQ41" s="25">
        <f t="shared" si="18"/>
        <v>478206</v>
      </c>
      <c r="AR41" s="25">
        <f t="shared" si="18"/>
        <v>485919</v>
      </c>
      <c r="AS41" s="25">
        <f t="shared" si="18"/>
        <v>533996.70000000007</v>
      </c>
      <c r="AT41" s="25">
        <f t="shared" si="18"/>
        <v>533996.70000000007</v>
      </c>
      <c r="AU41" s="25">
        <f t="shared" si="18"/>
        <v>456995.25</v>
      </c>
      <c r="AV41" s="25">
        <f t="shared" si="18"/>
        <v>472228.42499999999</v>
      </c>
      <c r="AW41" s="25">
        <f t="shared" si="18"/>
        <v>439898.1</v>
      </c>
      <c r="AX41" s="25">
        <f t="shared" si="18"/>
        <v>478206</v>
      </c>
      <c r="AY41" s="25">
        <f t="shared" si="18"/>
        <v>288209.09999999998</v>
      </c>
      <c r="AZ41" s="25">
        <f t="shared" si="18"/>
        <v>409560.3</v>
      </c>
      <c r="BA41" s="25">
        <f t="shared" si="18"/>
        <v>470235.89999999997</v>
      </c>
    </row>
    <row r="42" spans="2:53" s="2" customFormat="1" ht="13" x14ac:dyDescent="0.3">
      <c r="B42" s="2" t="s">
        <v>3</v>
      </c>
      <c r="C42" s="35">
        <f>SUM(C39:C40)</f>
        <v>0</v>
      </c>
      <c r="D42" s="35">
        <f>SUM(D39:D40)</f>
        <v>0</v>
      </c>
      <c r="E42" s="35">
        <f>SUM(E39:E40)</f>
        <v>152100</v>
      </c>
      <c r="F42" s="35">
        <f t="shared" ref="F42:BA42" si="19">SUM(F39:F41)</f>
        <v>1390274.5</v>
      </c>
      <c r="G42" s="35">
        <f t="shared" si="19"/>
        <v>1486155.5</v>
      </c>
      <c r="H42" s="35">
        <f t="shared" si="19"/>
        <v>1523925</v>
      </c>
      <c r="I42" s="35">
        <f t="shared" si="19"/>
        <v>1663289.5</v>
      </c>
      <c r="J42" s="35">
        <f t="shared" si="19"/>
        <v>1663289.5</v>
      </c>
      <c r="K42" s="35">
        <f t="shared" si="19"/>
        <v>1438215</v>
      </c>
      <c r="L42" s="35">
        <f t="shared" si="19"/>
        <v>1486155.5</v>
      </c>
      <c r="M42" s="35">
        <f t="shared" si="19"/>
        <v>1390274.5</v>
      </c>
      <c r="N42" s="35">
        <f t="shared" si="19"/>
        <v>1512725.6</v>
      </c>
      <c r="O42" s="35">
        <f t="shared" si="19"/>
        <v>910869.5</v>
      </c>
      <c r="P42" s="35">
        <f t="shared" si="19"/>
        <v>1294393.5</v>
      </c>
      <c r="Q42" s="35">
        <f t="shared" si="19"/>
        <v>1486155.5</v>
      </c>
      <c r="R42" s="35">
        <f t="shared" si="19"/>
        <v>1470851.7250000001</v>
      </c>
      <c r="S42" s="35">
        <f t="shared" si="19"/>
        <v>1572289.7749999999</v>
      </c>
      <c r="T42" s="35">
        <f t="shared" si="19"/>
        <v>1617994.5</v>
      </c>
      <c r="U42" s="35">
        <f t="shared" si="19"/>
        <v>1778208.05</v>
      </c>
      <c r="V42" s="35">
        <f t="shared" si="19"/>
        <v>1778208.05</v>
      </c>
      <c r="W42" s="35">
        <f t="shared" si="19"/>
        <v>1521570.75</v>
      </c>
      <c r="X42" s="35">
        <f t="shared" si="19"/>
        <v>1572289.7749999999</v>
      </c>
      <c r="Y42" s="35">
        <f t="shared" si="19"/>
        <v>1470851.7250000001</v>
      </c>
      <c r="Z42" s="35">
        <f t="shared" si="19"/>
        <v>1596645.7</v>
      </c>
      <c r="AA42" s="35">
        <f t="shared" si="19"/>
        <v>912942.45</v>
      </c>
      <c r="AB42" s="35">
        <f t="shared" si="19"/>
        <v>1420132.7</v>
      </c>
      <c r="AC42" s="35">
        <f t="shared" si="19"/>
        <v>1572289.7749999999</v>
      </c>
      <c r="AD42" s="35">
        <f t="shared" si="19"/>
        <v>1576904</v>
      </c>
      <c r="AE42" s="35">
        <f t="shared" si="19"/>
        <v>1685656</v>
      </c>
      <c r="AF42" s="35">
        <f t="shared" si="19"/>
        <v>1708419</v>
      </c>
      <c r="AG42" s="35">
        <f t="shared" si="19"/>
        <v>1871646.7000000002</v>
      </c>
      <c r="AH42" s="35">
        <f t="shared" si="19"/>
        <v>1871646.7000000002</v>
      </c>
      <c r="AI42" s="35">
        <f t="shared" si="19"/>
        <v>1605567</v>
      </c>
      <c r="AJ42" s="35">
        <f t="shared" si="19"/>
        <v>1659085.9</v>
      </c>
      <c r="AK42" s="35">
        <f t="shared" si="19"/>
        <v>1552048.1</v>
      </c>
      <c r="AL42" s="35">
        <f t="shared" si="19"/>
        <v>1685656</v>
      </c>
      <c r="AM42" s="35">
        <f t="shared" si="19"/>
        <v>1016859.1</v>
      </c>
      <c r="AN42" s="35">
        <f t="shared" si="19"/>
        <v>1445010.3</v>
      </c>
      <c r="AO42" s="35">
        <f t="shared" si="19"/>
        <v>1659085.9</v>
      </c>
      <c r="AP42" s="35">
        <f t="shared" si="19"/>
        <v>1658309.9</v>
      </c>
      <c r="AQ42" s="35">
        <f t="shared" si="19"/>
        <v>1746106</v>
      </c>
      <c r="AR42" s="35">
        <f t="shared" si="19"/>
        <v>1766919</v>
      </c>
      <c r="AS42" s="35">
        <f t="shared" si="19"/>
        <v>1932096.7000000002</v>
      </c>
      <c r="AT42" s="35">
        <f t="shared" si="19"/>
        <v>1932096.7000000002</v>
      </c>
      <c r="AU42" s="35">
        <f t="shared" si="19"/>
        <v>1670495.25</v>
      </c>
      <c r="AV42" s="35">
        <f t="shared" si="19"/>
        <v>1726178.425</v>
      </c>
      <c r="AW42" s="35">
        <f t="shared" si="19"/>
        <v>1608598.1</v>
      </c>
      <c r="AX42" s="35">
        <f t="shared" si="19"/>
        <v>1746106</v>
      </c>
      <c r="AY42" s="35">
        <f t="shared" si="19"/>
        <v>1053909.1000000001</v>
      </c>
      <c r="AZ42" s="35">
        <f t="shared" si="19"/>
        <v>1497660.3</v>
      </c>
      <c r="BA42" s="35">
        <f t="shared" si="19"/>
        <v>1719535.9</v>
      </c>
    </row>
    <row r="44" spans="2:53" x14ac:dyDescent="0.25">
      <c r="B44" s="1" t="s">
        <v>84</v>
      </c>
      <c r="C44" s="25">
        <f t="shared" ref="C44:AH44" si="20">C33*C37</f>
        <v>0</v>
      </c>
      <c r="D44" s="25">
        <f t="shared" si="20"/>
        <v>0</v>
      </c>
      <c r="E44" s="25">
        <f t="shared" si="20"/>
        <v>57400</v>
      </c>
      <c r="F44" s="25">
        <f t="shared" si="20"/>
        <v>1348848</v>
      </c>
      <c r="G44" s="25">
        <f t="shared" si="20"/>
        <v>1441872</v>
      </c>
      <c r="H44" s="25">
        <f t="shared" si="20"/>
        <v>1395360</v>
      </c>
      <c r="I44" s="25">
        <f t="shared" si="20"/>
        <v>1441872</v>
      </c>
      <c r="J44" s="25">
        <f t="shared" si="20"/>
        <v>1441872</v>
      </c>
      <c r="K44" s="25">
        <f t="shared" si="20"/>
        <v>1395360</v>
      </c>
      <c r="L44" s="25">
        <f t="shared" si="20"/>
        <v>1441872</v>
      </c>
      <c r="M44" s="25">
        <f t="shared" si="20"/>
        <v>1348848</v>
      </c>
      <c r="N44" s="25">
        <f t="shared" si="20"/>
        <v>1441872</v>
      </c>
      <c r="O44" s="25">
        <f t="shared" si="20"/>
        <v>883728</v>
      </c>
      <c r="P44" s="25">
        <f t="shared" si="20"/>
        <v>1255824</v>
      </c>
      <c r="Q44" s="25">
        <f t="shared" si="20"/>
        <v>1441872</v>
      </c>
      <c r="R44" s="25">
        <f t="shared" si="20"/>
        <v>1402498</v>
      </c>
      <c r="S44" s="25">
        <f t="shared" si="20"/>
        <v>1499222</v>
      </c>
      <c r="T44" s="25">
        <f t="shared" si="20"/>
        <v>1450860</v>
      </c>
      <c r="U44" s="25">
        <f t="shared" si="20"/>
        <v>1499222</v>
      </c>
      <c r="V44" s="25">
        <f t="shared" si="20"/>
        <v>1499222</v>
      </c>
      <c r="W44" s="25">
        <f t="shared" si="20"/>
        <v>1450860</v>
      </c>
      <c r="X44" s="25">
        <f t="shared" si="20"/>
        <v>1499222</v>
      </c>
      <c r="Y44" s="25">
        <f t="shared" si="20"/>
        <v>1402498</v>
      </c>
      <c r="Z44" s="25">
        <f t="shared" si="20"/>
        <v>1499222</v>
      </c>
      <c r="AA44" s="25">
        <f t="shared" si="20"/>
        <v>870516</v>
      </c>
      <c r="AB44" s="25">
        <f t="shared" si="20"/>
        <v>1354136</v>
      </c>
      <c r="AC44" s="25">
        <f t="shared" si="20"/>
        <v>1499222</v>
      </c>
      <c r="AD44" s="25">
        <f t="shared" si="20"/>
        <v>1477480.4</v>
      </c>
      <c r="AE44" s="25">
        <f t="shared" si="20"/>
        <v>1579375.5999999999</v>
      </c>
      <c r="AF44" s="25">
        <f t="shared" si="20"/>
        <v>1528428</v>
      </c>
      <c r="AG44" s="25">
        <f t="shared" si="20"/>
        <v>1579375.5999999999</v>
      </c>
      <c r="AH44" s="25">
        <f t="shared" si="20"/>
        <v>1579375.5999999999</v>
      </c>
      <c r="AI44" s="25">
        <f t="shared" ref="AI44:BA44" si="21">AI33*AI37</f>
        <v>1528428</v>
      </c>
      <c r="AJ44" s="25">
        <f t="shared" si="21"/>
        <v>1579375.5999999999</v>
      </c>
      <c r="AK44" s="25">
        <f t="shared" si="21"/>
        <v>1477480.4</v>
      </c>
      <c r="AL44" s="25">
        <f t="shared" si="21"/>
        <v>1579375.5999999999</v>
      </c>
      <c r="AM44" s="25">
        <f t="shared" si="21"/>
        <v>968004.4</v>
      </c>
      <c r="AN44" s="25">
        <f t="shared" si="21"/>
        <v>1375585.2</v>
      </c>
      <c r="AO44" s="25">
        <f t="shared" si="21"/>
        <v>1579375.5999999999</v>
      </c>
      <c r="AP44" s="25">
        <f t="shared" si="21"/>
        <v>1534030.4</v>
      </c>
      <c r="AQ44" s="25">
        <f t="shared" si="21"/>
        <v>1639825.5999999999</v>
      </c>
      <c r="AR44" s="25">
        <f t="shared" si="21"/>
        <v>1586928</v>
      </c>
      <c r="AS44" s="25">
        <f t="shared" si="21"/>
        <v>1639825.5999999999</v>
      </c>
      <c r="AT44" s="25">
        <f t="shared" si="21"/>
        <v>1639825.5999999999</v>
      </c>
      <c r="AU44" s="25">
        <f t="shared" si="21"/>
        <v>1586928</v>
      </c>
      <c r="AV44" s="25">
        <f t="shared" si="21"/>
        <v>1639825.5999999999</v>
      </c>
      <c r="AW44" s="25">
        <f t="shared" si="21"/>
        <v>1534030.4</v>
      </c>
      <c r="AX44" s="25">
        <f t="shared" si="21"/>
        <v>1639825.5999999999</v>
      </c>
      <c r="AY44" s="25">
        <f t="shared" si="21"/>
        <v>1005054.4</v>
      </c>
      <c r="AZ44" s="25">
        <f t="shared" si="21"/>
        <v>1428235.2</v>
      </c>
      <c r="BA44" s="25">
        <f t="shared" si="21"/>
        <v>1639825.5999999999</v>
      </c>
    </row>
    <row r="45" spans="2:53" x14ac:dyDescent="0.25">
      <c r="B45" s="1" t="s">
        <v>85</v>
      </c>
      <c r="C45" s="25">
        <f t="shared" ref="C45:AH45" si="22">C34*C37</f>
        <v>0</v>
      </c>
      <c r="D45" s="25">
        <f t="shared" si="22"/>
        <v>0</v>
      </c>
      <c r="E45" s="25">
        <f t="shared" si="22"/>
        <v>1750</v>
      </c>
      <c r="F45" s="25">
        <f t="shared" si="22"/>
        <v>41426.5</v>
      </c>
      <c r="G45" s="25">
        <f t="shared" si="22"/>
        <v>44283.5</v>
      </c>
      <c r="H45" s="25">
        <f t="shared" si="22"/>
        <v>128565</v>
      </c>
      <c r="I45" s="25">
        <f t="shared" si="22"/>
        <v>221417.5</v>
      </c>
      <c r="J45" s="25">
        <f t="shared" si="22"/>
        <v>221417.5</v>
      </c>
      <c r="K45" s="25">
        <f t="shared" si="22"/>
        <v>42855</v>
      </c>
      <c r="L45" s="25">
        <f t="shared" si="22"/>
        <v>44283.5</v>
      </c>
      <c r="M45" s="25">
        <f t="shared" si="22"/>
        <v>41426.5</v>
      </c>
      <c r="N45" s="25">
        <f t="shared" si="22"/>
        <v>70853.599999999991</v>
      </c>
      <c r="O45" s="25">
        <f t="shared" si="22"/>
        <v>27141.5</v>
      </c>
      <c r="P45" s="25">
        <f t="shared" si="22"/>
        <v>38569.5</v>
      </c>
      <c r="Q45" s="25">
        <f t="shared" si="22"/>
        <v>44283.5</v>
      </c>
      <c r="R45" s="25">
        <f t="shared" si="22"/>
        <v>68353.725000000006</v>
      </c>
      <c r="S45" s="25">
        <f t="shared" si="22"/>
        <v>73067.775000000009</v>
      </c>
      <c r="T45" s="25">
        <f t="shared" si="22"/>
        <v>167134.5</v>
      </c>
      <c r="U45" s="25">
        <f t="shared" si="22"/>
        <v>278986.05</v>
      </c>
      <c r="V45" s="25">
        <f t="shared" si="22"/>
        <v>278986.05</v>
      </c>
      <c r="W45" s="25">
        <f t="shared" si="22"/>
        <v>70710.75</v>
      </c>
      <c r="X45" s="25">
        <f t="shared" si="22"/>
        <v>73067.775000000009</v>
      </c>
      <c r="Y45" s="25">
        <f t="shared" si="22"/>
        <v>68353.725000000006</v>
      </c>
      <c r="Z45" s="25">
        <f t="shared" si="22"/>
        <v>97423.7</v>
      </c>
      <c r="AA45" s="25">
        <f t="shared" si="22"/>
        <v>42426.450000000004</v>
      </c>
      <c r="AB45" s="25">
        <f t="shared" si="22"/>
        <v>65996.7</v>
      </c>
      <c r="AC45" s="25">
        <f t="shared" si="22"/>
        <v>73067.775000000009</v>
      </c>
      <c r="AD45" s="25">
        <f t="shared" si="22"/>
        <v>99423.6</v>
      </c>
      <c r="AE45" s="25">
        <f t="shared" si="22"/>
        <v>106280.40000000001</v>
      </c>
      <c r="AF45" s="25">
        <f t="shared" si="22"/>
        <v>179991</v>
      </c>
      <c r="AG45" s="25">
        <f t="shared" si="22"/>
        <v>292271.10000000003</v>
      </c>
      <c r="AH45" s="25">
        <f t="shared" si="22"/>
        <v>292271.10000000003</v>
      </c>
      <c r="AI45" s="25">
        <f t="shared" ref="AI45:BA45" si="23">AI34*AI37</f>
        <v>77139</v>
      </c>
      <c r="AJ45" s="25">
        <f t="shared" si="23"/>
        <v>79710.3</v>
      </c>
      <c r="AK45" s="25">
        <f t="shared" si="23"/>
        <v>74567.700000000012</v>
      </c>
      <c r="AL45" s="25">
        <f t="shared" si="23"/>
        <v>106280.40000000001</v>
      </c>
      <c r="AM45" s="25">
        <f t="shared" si="23"/>
        <v>48854.700000000004</v>
      </c>
      <c r="AN45" s="25">
        <f t="shared" si="23"/>
        <v>69425.100000000006</v>
      </c>
      <c r="AO45" s="25">
        <f t="shared" si="23"/>
        <v>79710.3</v>
      </c>
      <c r="AP45" s="25">
        <f t="shared" si="23"/>
        <v>124279.5</v>
      </c>
      <c r="AQ45" s="25">
        <f t="shared" si="23"/>
        <v>106280.40000000001</v>
      </c>
      <c r="AR45" s="25">
        <f t="shared" si="23"/>
        <v>179991</v>
      </c>
      <c r="AS45" s="25">
        <f t="shared" si="23"/>
        <v>292271.10000000003</v>
      </c>
      <c r="AT45" s="25">
        <f t="shared" si="23"/>
        <v>292271.10000000003</v>
      </c>
      <c r="AU45" s="25">
        <f t="shared" si="23"/>
        <v>83567.25</v>
      </c>
      <c r="AV45" s="25">
        <f t="shared" si="23"/>
        <v>86352.824999999997</v>
      </c>
      <c r="AW45" s="25">
        <f t="shared" si="23"/>
        <v>74567.700000000012</v>
      </c>
      <c r="AX45" s="25">
        <f t="shared" si="23"/>
        <v>106280.40000000001</v>
      </c>
      <c r="AY45" s="25">
        <f t="shared" si="23"/>
        <v>48854.700000000004</v>
      </c>
      <c r="AZ45" s="25">
        <f t="shared" si="23"/>
        <v>69425.100000000006</v>
      </c>
      <c r="BA45" s="25">
        <f t="shared" si="23"/>
        <v>79710.3</v>
      </c>
    </row>
    <row r="46" spans="2:53" ht="13" x14ac:dyDescent="0.3">
      <c r="B46" s="36" t="s">
        <v>94</v>
      </c>
      <c r="C46" s="35">
        <f t="shared" ref="C46:AH46" si="24">C37*C35</f>
        <v>0</v>
      </c>
      <c r="D46" s="35">
        <f t="shared" si="24"/>
        <v>0</v>
      </c>
      <c r="E46" s="35">
        <f t="shared" si="24"/>
        <v>329000</v>
      </c>
      <c r="F46" s="35">
        <f t="shared" si="24"/>
        <v>1390274.5</v>
      </c>
      <c r="G46" s="35">
        <f t="shared" si="24"/>
        <v>1486155.5</v>
      </c>
      <c r="H46" s="35">
        <f t="shared" si="24"/>
        <v>1523925</v>
      </c>
      <c r="I46" s="35">
        <f t="shared" si="24"/>
        <v>1663289.5</v>
      </c>
      <c r="J46" s="35">
        <f t="shared" si="24"/>
        <v>1663289.5</v>
      </c>
      <c r="K46" s="35">
        <f t="shared" si="24"/>
        <v>1438215</v>
      </c>
      <c r="L46" s="35">
        <f t="shared" si="24"/>
        <v>1486155.5</v>
      </c>
      <c r="M46" s="35">
        <f t="shared" si="24"/>
        <v>1390274.5</v>
      </c>
      <c r="N46" s="35">
        <f t="shared" si="24"/>
        <v>1512725.5999999999</v>
      </c>
      <c r="O46" s="35">
        <f t="shared" si="24"/>
        <v>910869.5</v>
      </c>
      <c r="P46" s="35">
        <f t="shared" si="24"/>
        <v>1294393.5</v>
      </c>
      <c r="Q46" s="35">
        <f t="shared" si="24"/>
        <v>1486155.5</v>
      </c>
      <c r="R46" s="35">
        <f t="shared" si="24"/>
        <v>1470851.7250000001</v>
      </c>
      <c r="S46" s="35">
        <f t="shared" si="24"/>
        <v>1572289.7750000001</v>
      </c>
      <c r="T46" s="35">
        <f t="shared" si="24"/>
        <v>1617994.5</v>
      </c>
      <c r="U46" s="35">
        <f t="shared" si="24"/>
        <v>1778208.05</v>
      </c>
      <c r="V46" s="35">
        <f t="shared" si="24"/>
        <v>1778208.05</v>
      </c>
      <c r="W46" s="35">
        <f t="shared" si="24"/>
        <v>1521570.75</v>
      </c>
      <c r="X46" s="35">
        <f t="shared" si="24"/>
        <v>1572289.7750000001</v>
      </c>
      <c r="Y46" s="35">
        <f t="shared" si="24"/>
        <v>1470851.7250000001</v>
      </c>
      <c r="Z46" s="35">
        <f t="shared" si="24"/>
        <v>1596645.7</v>
      </c>
      <c r="AA46" s="35">
        <f t="shared" si="24"/>
        <v>912942.45000000007</v>
      </c>
      <c r="AB46" s="35">
        <f t="shared" si="24"/>
        <v>1420132.7</v>
      </c>
      <c r="AC46" s="35">
        <f t="shared" si="24"/>
        <v>1572289.7750000001</v>
      </c>
      <c r="AD46" s="35">
        <f t="shared" si="24"/>
        <v>1576904</v>
      </c>
      <c r="AE46" s="35">
        <f t="shared" si="24"/>
        <v>1685656</v>
      </c>
      <c r="AF46" s="35">
        <f t="shared" si="24"/>
        <v>1708419</v>
      </c>
      <c r="AG46" s="35">
        <f t="shared" si="24"/>
        <v>1871646.7</v>
      </c>
      <c r="AH46" s="35">
        <f t="shared" si="24"/>
        <v>1871646.7</v>
      </c>
      <c r="AI46" s="35">
        <f t="shared" ref="AI46:BA46" si="25">AI37*AI35</f>
        <v>1605567</v>
      </c>
      <c r="AJ46" s="35">
        <f t="shared" si="25"/>
        <v>1659085.9000000001</v>
      </c>
      <c r="AK46" s="35">
        <f t="shared" si="25"/>
        <v>1552048.1</v>
      </c>
      <c r="AL46" s="35">
        <f t="shared" si="25"/>
        <v>1685656</v>
      </c>
      <c r="AM46" s="35">
        <f t="shared" si="25"/>
        <v>1016859.1</v>
      </c>
      <c r="AN46" s="35">
        <f t="shared" si="25"/>
        <v>1445010.3</v>
      </c>
      <c r="AO46" s="35">
        <f t="shared" si="25"/>
        <v>1659085.9000000001</v>
      </c>
      <c r="AP46" s="35">
        <f t="shared" si="25"/>
        <v>1658309.9</v>
      </c>
      <c r="AQ46" s="35">
        <f t="shared" si="25"/>
        <v>1746106</v>
      </c>
      <c r="AR46" s="35">
        <f t="shared" si="25"/>
        <v>1766919</v>
      </c>
      <c r="AS46" s="35">
        <f t="shared" si="25"/>
        <v>1932096.7</v>
      </c>
      <c r="AT46" s="35">
        <f t="shared" si="25"/>
        <v>1932096.7</v>
      </c>
      <c r="AU46" s="35">
        <f t="shared" si="25"/>
        <v>1670495.25</v>
      </c>
      <c r="AV46" s="35">
        <f t="shared" si="25"/>
        <v>1726178.425</v>
      </c>
      <c r="AW46" s="35">
        <f t="shared" si="25"/>
        <v>1608598.1</v>
      </c>
      <c r="AX46" s="35">
        <f t="shared" si="25"/>
        <v>1746106</v>
      </c>
      <c r="AY46" s="35">
        <f t="shared" si="25"/>
        <v>1053909.1000000001</v>
      </c>
      <c r="AZ46" s="35">
        <f t="shared" si="25"/>
        <v>1497660.3</v>
      </c>
      <c r="BA46" s="35">
        <f t="shared" si="25"/>
        <v>1719535.9000000001</v>
      </c>
    </row>
    <row r="48" spans="2:53" ht="13" x14ac:dyDescent="0.3">
      <c r="B48" s="2" t="s">
        <v>95</v>
      </c>
    </row>
    <row r="49" spans="2:53" x14ac:dyDescent="0.25">
      <c r="B49" s="1" t="s">
        <v>96</v>
      </c>
      <c r="C49" s="33">
        <f>'P_L Variables'!L214*2</f>
        <v>0</v>
      </c>
      <c r="D49" s="33">
        <f>'P_L Variables'!M214*2</f>
        <v>0</v>
      </c>
      <c r="E49" s="25">
        <v>236</v>
      </c>
      <c r="F49" s="25">
        <f>'P_L Variables'!C215*2</f>
        <v>236</v>
      </c>
      <c r="G49" s="25">
        <f>'P_L Variables'!D215*2</f>
        <v>236</v>
      </c>
      <c r="H49" s="25">
        <f>'P_L Variables'!E215*2</f>
        <v>302</v>
      </c>
      <c r="I49" s="25">
        <f>'P_L Variables'!F215*2</f>
        <v>302</v>
      </c>
      <c r="J49" s="25">
        <f>'P_L Variables'!G215*2</f>
        <v>302</v>
      </c>
      <c r="K49" s="25">
        <f>'P_L Variables'!H215*2</f>
        <v>236</v>
      </c>
      <c r="L49" s="25">
        <f>'P_L Variables'!I215*2</f>
        <v>236</v>
      </c>
      <c r="M49" s="25">
        <f>'P_L Variables'!J215*2</f>
        <v>236</v>
      </c>
      <c r="N49" s="25">
        <f>'P_L Variables'!K215*2</f>
        <v>262.39999999999998</v>
      </c>
      <c r="O49" s="25">
        <f>'P_L Variables'!L215*2</f>
        <v>236</v>
      </c>
      <c r="P49" s="25">
        <f>'P_L Variables'!M215*2</f>
        <v>236</v>
      </c>
      <c r="Q49" s="25">
        <f>'P_L Variables'!N215*2</f>
        <v>236</v>
      </c>
      <c r="R49" s="25">
        <f>'P_L Variables'!C216*2</f>
        <v>270</v>
      </c>
      <c r="S49" s="25">
        <f>'P_L Variables'!D216*2</f>
        <v>270</v>
      </c>
      <c r="T49" s="25">
        <f>'P_L Variables'!E216*2</f>
        <v>336</v>
      </c>
      <c r="U49" s="25">
        <f>'P_L Variables'!F216*2</f>
        <v>336</v>
      </c>
      <c r="V49" s="25">
        <f>'P_L Variables'!G216*2</f>
        <v>336</v>
      </c>
      <c r="W49" s="25">
        <f>'P_L Variables'!H216*2</f>
        <v>270</v>
      </c>
      <c r="X49" s="25">
        <f>'P_L Variables'!I216*2</f>
        <v>270</v>
      </c>
      <c r="Y49" s="25">
        <f>'P_L Variables'!J216*2</f>
        <v>270</v>
      </c>
      <c r="Z49" s="25">
        <f>'P_L Variables'!K216*2</f>
        <v>292</v>
      </c>
      <c r="AA49" s="25">
        <f>'P_L Variables'!L216*2</f>
        <v>270</v>
      </c>
      <c r="AB49" s="25">
        <f>'P_L Variables'!M216*2</f>
        <v>270</v>
      </c>
      <c r="AC49" s="25">
        <f>'P_L Variables'!N216*2</f>
        <v>270</v>
      </c>
      <c r="AD49" s="25">
        <f>'P_L Variables'!C217*2</f>
        <v>304</v>
      </c>
      <c r="AE49" s="25">
        <f>'P_L Variables'!D217*2</f>
        <v>304</v>
      </c>
      <c r="AF49" s="25">
        <f>'P_L Variables'!E217*2</f>
        <v>348</v>
      </c>
      <c r="AG49" s="25">
        <f>'P_L Variables'!F217*2</f>
        <v>348</v>
      </c>
      <c r="AH49" s="25">
        <f>'P_L Variables'!G217*2</f>
        <v>348</v>
      </c>
      <c r="AI49" s="25">
        <f>'P_L Variables'!H217*2</f>
        <v>282</v>
      </c>
      <c r="AJ49" s="25">
        <f>'P_L Variables'!I217*2</f>
        <v>282</v>
      </c>
      <c r="AK49" s="25">
        <f>'P_L Variables'!J217*2</f>
        <v>282</v>
      </c>
      <c r="AL49" s="25">
        <f>'P_L Variables'!K217*2</f>
        <v>304</v>
      </c>
      <c r="AM49" s="25">
        <f>'P_L Variables'!L217*2</f>
        <v>282</v>
      </c>
      <c r="AN49" s="25">
        <f>'P_L Variables'!M217*2</f>
        <v>282</v>
      </c>
      <c r="AO49" s="25">
        <f>'P_L Variables'!N217*2</f>
        <v>282</v>
      </c>
      <c r="AP49" s="25">
        <f>'P_L Variables'!C218*2</f>
        <v>338</v>
      </c>
      <c r="AQ49" s="25">
        <f>'P_L Variables'!D218*2</f>
        <v>316</v>
      </c>
      <c r="AR49" s="25">
        <f>'P_L Variables'!E218*2</f>
        <v>360</v>
      </c>
      <c r="AS49" s="25">
        <f>'P_L Variables'!F218*2</f>
        <v>360</v>
      </c>
      <c r="AT49" s="25">
        <f>'P_L Variables'!G218*2</f>
        <v>360</v>
      </c>
      <c r="AU49" s="25">
        <f>'P_L Variables'!H218*2</f>
        <v>294</v>
      </c>
      <c r="AV49" s="25">
        <f>'P_L Variables'!I218*2</f>
        <v>294</v>
      </c>
      <c r="AW49" s="25">
        <f>'P_L Variables'!J218*2</f>
        <v>294</v>
      </c>
      <c r="AX49" s="25">
        <f>'P_L Variables'!K218*2</f>
        <v>316</v>
      </c>
      <c r="AY49" s="25">
        <f>'P_L Variables'!L218*2</f>
        <v>294</v>
      </c>
      <c r="AZ49" s="25">
        <f>'P_L Variables'!M218*2</f>
        <v>294</v>
      </c>
      <c r="BA49" s="25">
        <f>'P_L Variables'!N218*2</f>
        <v>294</v>
      </c>
    </row>
    <row r="51" spans="2:53" x14ac:dyDescent="0.25">
      <c r="B51" s="34" t="s">
        <v>97</v>
      </c>
      <c r="C51" s="25">
        <f>'P_L Variables'!L225*2</f>
        <v>0</v>
      </c>
      <c r="D51" s="25">
        <f>'P_L Variables'!M225*2</f>
        <v>0</v>
      </c>
      <c r="E51" s="25">
        <v>236</v>
      </c>
      <c r="F51" s="25">
        <f>'P_L Variables'!C226*2</f>
        <v>236</v>
      </c>
      <c r="G51" s="25">
        <f>'P_L Variables'!D226*2</f>
        <v>236</v>
      </c>
      <c r="H51" s="25">
        <f>'P_L Variables'!E226*2</f>
        <v>302</v>
      </c>
      <c r="I51" s="25">
        <f>'P_L Variables'!F226*2</f>
        <v>302</v>
      </c>
      <c r="J51" s="25">
        <f>'P_L Variables'!G226*2</f>
        <v>302</v>
      </c>
      <c r="K51" s="25">
        <f>'P_L Variables'!H226*2</f>
        <v>236</v>
      </c>
      <c r="L51" s="25">
        <f>'P_L Variables'!I226*2</f>
        <v>236</v>
      </c>
      <c r="M51" s="25">
        <f>'P_L Variables'!J226*2</f>
        <v>236</v>
      </c>
      <c r="N51" s="25">
        <f>'P_L Variables'!K226*2</f>
        <v>262.39999999999998</v>
      </c>
      <c r="O51" s="25">
        <f>'P_L Variables'!L226*2</f>
        <v>236</v>
      </c>
      <c r="P51" s="25">
        <f>'P_L Variables'!M226*2</f>
        <v>236</v>
      </c>
      <c r="Q51" s="25">
        <f>'P_L Variables'!N226*2</f>
        <v>236</v>
      </c>
      <c r="R51" s="25">
        <f>'P_L Variables'!C226*2</f>
        <v>236</v>
      </c>
      <c r="S51" s="25">
        <f>'P_L Variables'!D226*2</f>
        <v>236</v>
      </c>
      <c r="T51" s="25">
        <f>'P_L Variables'!E226*2</f>
        <v>302</v>
      </c>
      <c r="U51" s="25">
        <f>'P_L Variables'!F226*2</f>
        <v>302</v>
      </c>
      <c r="V51" s="25">
        <f>'P_L Variables'!G226*2</f>
        <v>302</v>
      </c>
      <c r="W51" s="25">
        <f>'P_L Variables'!H226*2</f>
        <v>236</v>
      </c>
      <c r="X51" s="25">
        <f>'P_L Variables'!I226*2</f>
        <v>236</v>
      </c>
      <c r="Y51" s="25">
        <f>'P_L Variables'!J226*2</f>
        <v>236</v>
      </c>
      <c r="Z51" s="25">
        <f>'P_L Variables'!K226*2</f>
        <v>262.39999999999998</v>
      </c>
      <c r="AA51" s="25">
        <f>'P_L Variables'!L226*2</f>
        <v>236</v>
      </c>
      <c r="AB51" s="25">
        <f>'P_L Variables'!M226*2</f>
        <v>236</v>
      </c>
      <c r="AC51" s="25">
        <f>'P_L Variables'!N226*2</f>
        <v>236</v>
      </c>
      <c r="AD51" s="25">
        <f>'P_L Variables'!C228*2</f>
        <v>280</v>
      </c>
      <c r="AE51" s="25">
        <f>'P_L Variables'!D228*2</f>
        <v>280</v>
      </c>
      <c r="AF51" s="25">
        <f>'P_L Variables'!E228*2</f>
        <v>324</v>
      </c>
      <c r="AG51" s="25">
        <f>'P_L Variables'!F228*2</f>
        <v>324</v>
      </c>
      <c r="AH51" s="25">
        <f>'P_L Variables'!G228*2</f>
        <v>324</v>
      </c>
      <c r="AI51" s="25">
        <f>'P_L Variables'!H228*2</f>
        <v>258</v>
      </c>
      <c r="AJ51" s="25">
        <f>'P_L Variables'!I228*2</f>
        <v>258</v>
      </c>
      <c r="AK51" s="25">
        <f>'P_L Variables'!J228*2</f>
        <v>258</v>
      </c>
      <c r="AL51" s="25">
        <f>'P_L Variables'!K228*2</f>
        <v>280</v>
      </c>
      <c r="AM51" s="25">
        <f>'P_L Variables'!L228*2</f>
        <v>258</v>
      </c>
      <c r="AN51" s="25">
        <f>'P_L Variables'!M228*2</f>
        <v>258</v>
      </c>
      <c r="AO51" s="25">
        <f>'P_L Variables'!N228*2</f>
        <v>258</v>
      </c>
      <c r="AP51" s="25">
        <f>'P_L Variables'!C229*2</f>
        <v>302</v>
      </c>
      <c r="AQ51" s="25">
        <f>'P_L Variables'!D229*2</f>
        <v>280</v>
      </c>
      <c r="AR51" s="25">
        <f>'P_L Variables'!E229*2</f>
        <v>324</v>
      </c>
      <c r="AS51" s="25">
        <f>'P_L Variables'!F229*2</f>
        <v>324</v>
      </c>
      <c r="AT51" s="25">
        <f>'P_L Variables'!G229*2</f>
        <v>324</v>
      </c>
      <c r="AU51" s="25">
        <f>'P_L Variables'!H229*2</f>
        <v>258</v>
      </c>
      <c r="AV51" s="25">
        <f>'P_L Variables'!I229*2</f>
        <v>258</v>
      </c>
      <c r="AW51" s="25">
        <f>'P_L Variables'!J229*2</f>
        <v>258</v>
      </c>
      <c r="AX51" s="25">
        <f>'P_L Variables'!K229*2</f>
        <v>280</v>
      </c>
      <c r="AY51" s="25">
        <f>'P_L Variables'!L229*2</f>
        <v>258</v>
      </c>
      <c r="AZ51" s="25">
        <f>'P_L Variables'!M229*2</f>
        <v>258</v>
      </c>
      <c r="BA51" s="25">
        <f>'P_L Variables'!N229*2</f>
        <v>258</v>
      </c>
    </row>
    <row r="52" spans="2:53" x14ac:dyDescent="0.25">
      <c r="B52" s="1" t="s">
        <v>98</v>
      </c>
      <c r="C52" s="37">
        <f t="shared" ref="C52:AH52" si="26">C17</f>
        <v>0</v>
      </c>
      <c r="D52" s="37">
        <f t="shared" si="26"/>
        <v>0</v>
      </c>
      <c r="E52" s="37">
        <f t="shared" si="26"/>
        <v>0</v>
      </c>
      <c r="F52" s="37">
        <f t="shared" si="26"/>
        <v>1</v>
      </c>
      <c r="G52" s="37">
        <f t="shared" si="26"/>
        <v>1</v>
      </c>
      <c r="H52" s="37">
        <f t="shared" si="26"/>
        <v>1</v>
      </c>
      <c r="I52" s="37">
        <f t="shared" si="26"/>
        <v>1</v>
      </c>
      <c r="J52" s="37">
        <f t="shared" si="26"/>
        <v>1</v>
      </c>
      <c r="K52" s="37">
        <f t="shared" si="26"/>
        <v>1</v>
      </c>
      <c r="L52" s="37">
        <f t="shared" si="26"/>
        <v>1</v>
      </c>
      <c r="M52" s="37">
        <f t="shared" si="26"/>
        <v>1</v>
      </c>
      <c r="N52" s="37">
        <f t="shared" si="26"/>
        <v>1</v>
      </c>
      <c r="O52" s="37">
        <f t="shared" si="26"/>
        <v>1</v>
      </c>
      <c r="P52" s="37">
        <f t="shared" si="26"/>
        <v>1</v>
      </c>
      <c r="Q52" s="37">
        <f t="shared" si="26"/>
        <v>1</v>
      </c>
      <c r="R52" s="37">
        <f t="shared" si="26"/>
        <v>1</v>
      </c>
      <c r="S52" s="37">
        <f t="shared" si="26"/>
        <v>1</v>
      </c>
      <c r="T52" s="37">
        <f t="shared" si="26"/>
        <v>1</v>
      </c>
      <c r="U52" s="37">
        <f t="shared" si="26"/>
        <v>1</v>
      </c>
      <c r="V52" s="37">
        <f t="shared" si="26"/>
        <v>1</v>
      </c>
      <c r="W52" s="37">
        <f t="shared" si="26"/>
        <v>1</v>
      </c>
      <c r="X52" s="37">
        <f t="shared" si="26"/>
        <v>1</v>
      </c>
      <c r="Y52" s="37">
        <f t="shared" si="26"/>
        <v>1</v>
      </c>
      <c r="Z52" s="37">
        <f t="shared" si="26"/>
        <v>1</v>
      </c>
      <c r="AA52" s="37">
        <f t="shared" si="26"/>
        <v>1</v>
      </c>
      <c r="AB52" s="37">
        <f t="shared" si="26"/>
        <v>1</v>
      </c>
      <c r="AC52" s="37">
        <f t="shared" si="26"/>
        <v>1</v>
      </c>
      <c r="AD52" s="37">
        <f t="shared" si="26"/>
        <v>1</v>
      </c>
      <c r="AE52" s="37">
        <f t="shared" si="26"/>
        <v>1</v>
      </c>
      <c r="AF52" s="37">
        <f t="shared" si="26"/>
        <v>1</v>
      </c>
      <c r="AG52" s="37">
        <f t="shared" si="26"/>
        <v>1</v>
      </c>
      <c r="AH52" s="37">
        <f t="shared" si="26"/>
        <v>1</v>
      </c>
      <c r="AI52" s="37">
        <f t="shared" ref="AI52:BA52" si="27">AI17</f>
        <v>1</v>
      </c>
      <c r="AJ52" s="37">
        <f t="shared" si="27"/>
        <v>1</v>
      </c>
      <c r="AK52" s="37">
        <f t="shared" si="27"/>
        <v>1</v>
      </c>
      <c r="AL52" s="37">
        <f t="shared" si="27"/>
        <v>1</v>
      </c>
      <c r="AM52" s="37">
        <f t="shared" si="27"/>
        <v>1</v>
      </c>
      <c r="AN52" s="37">
        <f t="shared" si="27"/>
        <v>1</v>
      </c>
      <c r="AO52" s="37">
        <f t="shared" si="27"/>
        <v>1</v>
      </c>
      <c r="AP52" s="37">
        <f t="shared" si="27"/>
        <v>1</v>
      </c>
      <c r="AQ52" s="37">
        <f t="shared" si="27"/>
        <v>1</v>
      </c>
      <c r="AR52" s="37">
        <f t="shared" si="27"/>
        <v>1</v>
      </c>
      <c r="AS52" s="37">
        <f t="shared" si="27"/>
        <v>1</v>
      </c>
      <c r="AT52" s="37">
        <f t="shared" si="27"/>
        <v>1</v>
      </c>
      <c r="AU52" s="37">
        <f t="shared" si="27"/>
        <v>1</v>
      </c>
      <c r="AV52" s="37">
        <f t="shared" si="27"/>
        <v>1</v>
      </c>
      <c r="AW52" s="37">
        <f t="shared" si="27"/>
        <v>1</v>
      </c>
      <c r="AX52" s="37">
        <f t="shared" si="27"/>
        <v>1</v>
      </c>
      <c r="AY52" s="37">
        <f t="shared" si="27"/>
        <v>1</v>
      </c>
      <c r="AZ52" s="37">
        <f t="shared" si="27"/>
        <v>1</v>
      </c>
      <c r="BA52" s="37">
        <f t="shared" si="27"/>
        <v>1</v>
      </c>
    </row>
    <row r="53" spans="2:53" x14ac:dyDescent="0.25">
      <c r="C53" s="28">
        <f>C51*C52</f>
        <v>0</v>
      </c>
      <c r="D53" s="28">
        <f>D51*D52</f>
        <v>0</v>
      </c>
      <c r="E53" s="28">
        <v>236</v>
      </c>
      <c r="F53" s="28">
        <f t="shared" ref="F53:BA53" si="28">F51*F52</f>
        <v>236</v>
      </c>
      <c r="G53" s="28">
        <f t="shared" si="28"/>
        <v>236</v>
      </c>
      <c r="H53" s="28">
        <f t="shared" si="28"/>
        <v>302</v>
      </c>
      <c r="I53" s="28">
        <f t="shared" si="28"/>
        <v>302</v>
      </c>
      <c r="J53" s="28">
        <f t="shared" si="28"/>
        <v>302</v>
      </c>
      <c r="K53" s="28">
        <f t="shared" si="28"/>
        <v>236</v>
      </c>
      <c r="L53" s="28">
        <f t="shared" si="28"/>
        <v>236</v>
      </c>
      <c r="M53" s="28">
        <f t="shared" si="28"/>
        <v>236</v>
      </c>
      <c r="N53" s="28">
        <f t="shared" si="28"/>
        <v>262.39999999999998</v>
      </c>
      <c r="O53" s="28">
        <f t="shared" si="28"/>
        <v>236</v>
      </c>
      <c r="P53" s="28">
        <f t="shared" si="28"/>
        <v>236</v>
      </c>
      <c r="Q53" s="28">
        <f t="shared" si="28"/>
        <v>236</v>
      </c>
      <c r="R53" s="28">
        <f t="shared" si="28"/>
        <v>236</v>
      </c>
      <c r="S53" s="28">
        <f t="shared" si="28"/>
        <v>236</v>
      </c>
      <c r="T53" s="28">
        <f t="shared" si="28"/>
        <v>302</v>
      </c>
      <c r="U53" s="28">
        <f t="shared" si="28"/>
        <v>302</v>
      </c>
      <c r="V53" s="28">
        <f t="shared" si="28"/>
        <v>302</v>
      </c>
      <c r="W53" s="28">
        <f t="shared" si="28"/>
        <v>236</v>
      </c>
      <c r="X53" s="28">
        <f t="shared" si="28"/>
        <v>236</v>
      </c>
      <c r="Y53" s="28">
        <f t="shared" si="28"/>
        <v>236</v>
      </c>
      <c r="Z53" s="28">
        <f t="shared" si="28"/>
        <v>262.39999999999998</v>
      </c>
      <c r="AA53" s="28">
        <f t="shared" si="28"/>
        <v>236</v>
      </c>
      <c r="AB53" s="28">
        <f t="shared" si="28"/>
        <v>236</v>
      </c>
      <c r="AC53" s="28">
        <f t="shared" si="28"/>
        <v>236</v>
      </c>
      <c r="AD53" s="28">
        <f t="shared" si="28"/>
        <v>280</v>
      </c>
      <c r="AE53" s="28">
        <f t="shared" si="28"/>
        <v>280</v>
      </c>
      <c r="AF53" s="28">
        <f t="shared" si="28"/>
        <v>324</v>
      </c>
      <c r="AG53" s="28">
        <f t="shared" si="28"/>
        <v>324</v>
      </c>
      <c r="AH53" s="28">
        <f t="shared" si="28"/>
        <v>324</v>
      </c>
      <c r="AI53" s="28">
        <f t="shared" si="28"/>
        <v>258</v>
      </c>
      <c r="AJ53" s="28">
        <f t="shared" si="28"/>
        <v>258</v>
      </c>
      <c r="AK53" s="28">
        <f t="shared" si="28"/>
        <v>258</v>
      </c>
      <c r="AL53" s="28">
        <f t="shared" si="28"/>
        <v>280</v>
      </c>
      <c r="AM53" s="28">
        <f t="shared" si="28"/>
        <v>258</v>
      </c>
      <c r="AN53" s="28">
        <f t="shared" si="28"/>
        <v>258</v>
      </c>
      <c r="AO53" s="28">
        <f t="shared" si="28"/>
        <v>258</v>
      </c>
      <c r="AP53" s="28">
        <f t="shared" si="28"/>
        <v>302</v>
      </c>
      <c r="AQ53" s="28">
        <f t="shared" si="28"/>
        <v>280</v>
      </c>
      <c r="AR53" s="28">
        <f t="shared" si="28"/>
        <v>324</v>
      </c>
      <c r="AS53" s="28">
        <f t="shared" si="28"/>
        <v>324</v>
      </c>
      <c r="AT53" s="28">
        <f t="shared" si="28"/>
        <v>324</v>
      </c>
      <c r="AU53" s="28">
        <f t="shared" si="28"/>
        <v>258</v>
      </c>
      <c r="AV53" s="28">
        <f t="shared" si="28"/>
        <v>258</v>
      </c>
      <c r="AW53" s="28">
        <f t="shared" si="28"/>
        <v>258</v>
      </c>
      <c r="AX53" s="28">
        <f t="shared" si="28"/>
        <v>280</v>
      </c>
      <c r="AY53" s="28">
        <f t="shared" si="28"/>
        <v>258</v>
      </c>
      <c r="AZ53" s="28">
        <f t="shared" si="28"/>
        <v>258</v>
      </c>
      <c r="BA53" s="28">
        <f t="shared" si="28"/>
        <v>258</v>
      </c>
    </row>
    <row r="54" spans="2:53" x14ac:dyDescent="0.25"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</row>
    <row r="55" spans="2:53" x14ac:dyDescent="0.25">
      <c r="B55" s="1" t="s">
        <v>99</v>
      </c>
    </row>
    <row r="56" spans="2:53" x14ac:dyDescent="0.25">
      <c r="B56" s="1" t="s">
        <v>83</v>
      </c>
      <c r="E56" s="25">
        <v>22</v>
      </c>
      <c r="F56" s="25">
        <f>'P_L Variables'!C247</f>
        <v>22</v>
      </c>
      <c r="G56" s="25">
        <f>'P_L Variables'!D247</f>
        <v>22</v>
      </c>
      <c r="H56" s="25">
        <f>'P_L Variables'!E247</f>
        <v>55.000000000000007</v>
      </c>
      <c r="I56" s="25">
        <f>'P_L Variables'!F247</f>
        <v>55.000000000000007</v>
      </c>
      <c r="J56" s="25">
        <f>'P_L Variables'!G247</f>
        <v>55.000000000000007</v>
      </c>
      <c r="K56" s="25">
        <f>'P_L Variables'!H247</f>
        <v>22</v>
      </c>
      <c r="L56" s="25">
        <f>'P_L Variables'!I247</f>
        <v>22</v>
      </c>
      <c r="M56" s="25">
        <f>'P_L Variables'!J247</f>
        <v>22</v>
      </c>
      <c r="N56" s="25">
        <f>'P_L Variables'!K247</f>
        <v>35.200000000000003</v>
      </c>
      <c r="O56" s="25">
        <f>'P_L Variables'!L247</f>
        <v>22</v>
      </c>
      <c r="P56" s="25">
        <f>'P_L Variables'!M247</f>
        <v>22</v>
      </c>
      <c r="Q56" s="25">
        <f>'P_L Variables'!N247</f>
        <v>22</v>
      </c>
      <c r="R56" s="25">
        <f>'P_L Variables'!C248</f>
        <v>33</v>
      </c>
      <c r="S56" s="25">
        <f>'P_L Variables'!D248</f>
        <v>33</v>
      </c>
      <c r="T56" s="25">
        <f>'P_L Variables'!E248</f>
        <v>66</v>
      </c>
      <c r="U56" s="25">
        <f>'P_L Variables'!F248</f>
        <v>66</v>
      </c>
      <c r="V56" s="25">
        <f>'P_L Variables'!G248</f>
        <v>66</v>
      </c>
      <c r="W56" s="25">
        <f>'P_L Variables'!H248</f>
        <v>33</v>
      </c>
      <c r="X56" s="25">
        <f>'P_L Variables'!I248</f>
        <v>33</v>
      </c>
      <c r="Y56" s="25">
        <f>'P_L Variables'!J248</f>
        <v>33</v>
      </c>
      <c r="Z56" s="25">
        <f>'P_L Variables'!K248</f>
        <v>44</v>
      </c>
      <c r="AA56" s="25">
        <f>'P_L Variables'!L248</f>
        <v>33</v>
      </c>
      <c r="AB56" s="25">
        <f>'P_L Variables'!M248</f>
        <v>33</v>
      </c>
      <c r="AC56" s="25">
        <f>'P_L Variables'!N248</f>
        <v>33</v>
      </c>
      <c r="AD56" s="25">
        <f>'P_L Variables'!C249</f>
        <v>44</v>
      </c>
      <c r="AE56" s="25">
        <f>'P_L Variables'!D249</f>
        <v>44</v>
      </c>
      <c r="AF56" s="25">
        <f>'P_L Variables'!E249</f>
        <v>66</v>
      </c>
      <c r="AG56" s="25">
        <f>'P_L Variables'!F249</f>
        <v>66</v>
      </c>
      <c r="AH56" s="25">
        <f>'P_L Variables'!G249</f>
        <v>66</v>
      </c>
      <c r="AI56" s="25">
        <f>'P_L Variables'!H249</f>
        <v>33</v>
      </c>
      <c r="AJ56" s="25">
        <f>'P_L Variables'!I249</f>
        <v>33</v>
      </c>
      <c r="AK56" s="25">
        <f>'P_L Variables'!J249</f>
        <v>33</v>
      </c>
      <c r="AL56" s="25">
        <f>'P_L Variables'!K249</f>
        <v>44</v>
      </c>
      <c r="AM56" s="25">
        <f>'P_L Variables'!L249</f>
        <v>33</v>
      </c>
      <c r="AN56" s="25">
        <f>'P_L Variables'!M249</f>
        <v>33</v>
      </c>
      <c r="AO56" s="25">
        <f>'P_L Variables'!N249</f>
        <v>33</v>
      </c>
      <c r="AP56" s="25">
        <f>'P_L Variables'!C250</f>
        <v>55.000000000000007</v>
      </c>
      <c r="AQ56" s="25">
        <f>'P_L Variables'!D250</f>
        <v>44</v>
      </c>
      <c r="AR56" s="25">
        <f>'P_L Variables'!E250</f>
        <v>66</v>
      </c>
      <c r="AS56" s="25">
        <f>'P_L Variables'!F250</f>
        <v>66</v>
      </c>
      <c r="AT56" s="25">
        <f>'P_L Variables'!G250</f>
        <v>66</v>
      </c>
      <c r="AU56" s="25">
        <f>'P_L Variables'!H250</f>
        <v>33</v>
      </c>
      <c r="AV56" s="25">
        <f>'P_L Variables'!I250</f>
        <v>33</v>
      </c>
      <c r="AW56" s="25">
        <f>'P_L Variables'!J250</f>
        <v>33</v>
      </c>
      <c r="AX56" s="25">
        <f>'P_L Variables'!K250</f>
        <v>44</v>
      </c>
      <c r="AY56" s="25">
        <f>'P_L Variables'!L250</f>
        <v>33</v>
      </c>
      <c r="AZ56" s="25">
        <f>'P_L Variables'!M250</f>
        <v>33</v>
      </c>
      <c r="BA56" s="25">
        <f>'P_L Variables'!N250</f>
        <v>33</v>
      </c>
    </row>
    <row r="57" spans="2:53" x14ac:dyDescent="0.25">
      <c r="B57" s="1" t="s">
        <v>86</v>
      </c>
      <c r="E57" s="25">
        <v>22</v>
      </c>
      <c r="F57" s="25">
        <f>'P_L Variables'!C258</f>
        <v>22</v>
      </c>
      <c r="G57" s="25">
        <f>'P_L Variables'!D258</f>
        <v>22</v>
      </c>
      <c r="H57" s="25">
        <f>'P_L Variables'!E258</f>
        <v>55.000000000000007</v>
      </c>
      <c r="I57" s="25">
        <f>'P_L Variables'!F258</f>
        <v>55.000000000000007</v>
      </c>
      <c r="J57" s="25">
        <f>'P_L Variables'!G258</f>
        <v>55.000000000000007</v>
      </c>
      <c r="K57" s="25">
        <f>'P_L Variables'!H258</f>
        <v>22</v>
      </c>
      <c r="L57" s="25">
        <f>'P_L Variables'!I258</f>
        <v>22</v>
      </c>
      <c r="M57" s="25">
        <f>'P_L Variables'!J258</f>
        <v>22</v>
      </c>
      <c r="N57" s="25">
        <f>'P_L Variables'!K258</f>
        <v>35.200000000000003</v>
      </c>
      <c r="O57" s="25">
        <f>'P_L Variables'!L258</f>
        <v>22</v>
      </c>
      <c r="P57" s="25">
        <f>'P_L Variables'!M258</f>
        <v>22</v>
      </c>
      <c r="Q57" s="25">
        <f>'P_L Variables'!N258</f>
        <v>22</v>
      </c>
      <c r="R57" s="25">
        <f>'P_L Variables'!C259</f>
        <v>33</v>
      </c>
      <c r="S57" s="25">
        <f>'P_L Variables'!D259</f>
        <v>33</v>
      </c>
      <c r="T57" s="25">
        <f>'P_L Variables'!E259</f>
        <v>66</v>
      </c>
      <c r="U57" s="25">
        <f>'P_L Variables'!F259</f>
        <v>66</v>
      </c>
      <c r="V57" s="25">
        <f>'P_L Variables'!G259</f>
        <v>66</v>
      </c>
      <c r="W57" s="25">
        <f>'P_L Variables'!H259</f>
        <v>33</v>
      </c>
      <c r="X57" s="25">
        <f>'P_L Variables'!I259</f>
        <v>33</v>
      </c>
      <c r="Y57" s="25">
        <f>'P_L Variables'!J259</f>
        <v>33</v>
      </c>
      <c r="Z57" s="25">
        <f>'P_L Variables'!K259</f>
        <v>44</v>
      </c>
      <c r="AA57" s="25">
        <f>'P_L Variables'!L259</f>
        <v>33</v>
      </c>
      <c r="AB57" s="25">
        <f>'P_L Variables'!M259</f>
        <v>33</v>
      </c>
      <c r="AC57" s="25">
        <f>'P_L Variables'!N259</f>
        <v>33</v>
      </c>
      <c r="AD57" s="25">
        <f>'P_L Variables'!C260</f>
        <v>44</v>
      </c>
      <c r="AE57" s="25">
        <f>'P_L Variables'!D260</f>
        <v>44</v>
      </c>
      <c r="AF57" s="25">
        <f>'P_L Variables'!E260</f>
        <v>66</v>
      </c>
      <c r="AG57" s="25">
        <f>'P_L Variables'!F260</f>
        <v>66</v>
      </c>
      <c r="AH57" s="25">
        <f>'P_L Variables'!G260</f>
        <v>66</v>
      </c>
      <c r="AI57" s="25">
        <f>'P_L Variables'!H260</f>
        <v>33</v>
      </c>
      <c r="AJ57" s="25">
        <f>'P_L Variables'!I260</f>
        <v>33</v>
      </c>
      <c r="AK57" s="25">
        <f>'P_L Variables'!J260</f>
        <v>33</v>
      </c>
      <c r="AL57" s="25">
        <f>'P_L Variables'!K260</f>
        <v>44</v>
      </c>
      <c r="AM57" s="25">
        <f>'P_L Variables'!L260</f>
        <v>33</v>
      </c>
      <c r="AN57" s="25">
        <f>'P_L Variables'!M260</f>
        <v>33</v>
      </c>
      <c r="AO57" s="25">
        <f>'P_L Variables'!N260</f>
        <v>33</v>
      </c>
      <c r="AP57" s="25">
        <f>'P_L Variables'!C261</f>
        <v>55.000000000000007</v>
      </c>
      <c r="AQ57" s="25">
        <f>'P_L Variables'!D261</f>
        <v>44</v>
      </c>
      <c r="AR57" s="25">
        <f>'P_L Variables'!E261</f>
        <v>66</v>
      </c>
      <c r="AS57" s="25">
        <f>'P_L Variables'!F261</f>
        <v>66</v>
      </c>
      <c r="AT57" s="25">
        <f>'P_L Variables'!G261</f>
        <v>66</v>
      </c>
      <c r="AU57" s="25">
        <f>'P_L Variables'!H261</f>
        <v>33</v>
      </c>
      <c r="AV57" s="25">
        <f>'P_L Variables'!I261</f>
        <v>33</v>
      </c>
      <c r="AW57" s="25">
        <f>'P_L Variables'!J261</f>
        <v>33</v>
      </c>
      <c r="AX57" s="25">
        <f>'P_L Variables'!K261</f>
        <v>44</v>
      </c>
      <c r="AY57" s="25">
        <f>'P_L Variables'!L261</f>
        <v>33</v>
      </c>
      <c r="AZ57" s="25">
        <f>'P_L Variables'!M261</f>
        <v>33</v>
      </c>
      <c r="BA57" s="25">
        <f>'P_L Variables'!N261</f>
        <v>33</v>
      </c>
    </row>
    <row r="58" spans="2:53" x14ac:dyDescent="0.25">
      <c r="B58" s="1" t="s">
        <v>88</v>
      </c>
      <c r="E58" s="25">
        <v>22</v>
      </c>
      <c r="F58" s="25">
        <f>'P_L Variables'!C268</f>
        <v>22</v>
      </c>
      <c r="G58" s="25">
        <f>'P_L Variables'!D268</f>
        <v>22</v>
      </c>
      <c r="H58" s="25">
        <f>'P_L Variables'!E268</f>
        <v>55.000000000000007</v>
      </c>
      <c r="I58" s="25">
        <f>'P_L Variables'!F268</f>
        <v>55.000000000000007</v>
      </c>
      <c r="J58" s="25">
        <f>'P_L Variables'!G268</f>
        <v>55.000000000000007</v>
      </c>
      <c r="K58" s="25">
        <f>'P_L Variables'!H268</f>
        <v>22</v>
      </c>
      <c r="L58" s="25">
        <f>'P_L Variables'!I268</f>
        <v>22</v>
      </c>
      <c r="M58" s="25">
        <f>'P_L Variables'!J268</f>
        <v>22</v>
      </c>
      <c r="N58" s="25">
        <f>'P_L Variables'!K268</f>
        <v>35.200000000000003</v>
      </c>
      <c r="O58" s="25">
        <f>'P_L Variables'!L268</f>
        <v>22</v>
      </c>
      <c r="P58" s="25">
        <f>'P_L Variables'!M268</f>
        <v>22</v>
      </c>
      <c r="Q58" s="25">
        <f>'P_L Variables'!N268</f>
        <v>22</v>
      </c>
      <c r="R58" s="25">
        <f>'P_L Variables'!C269</f>
        <v>33</v>
      </c>
      <c r="S58" s="25">
        <f>'P_L Variables'!D269</f>
        <v>33</v>
      </c>
      <c r="T58" s="25">
        <f>'P_L Variables'!E269</f>
        <v>66</v>
      </c>
      <c r="U58" s="25">
        <f>'P_L Variables'!F269</f>
        <v>66</v>
      </c>
      <c r="V58" s="25">
        <f>'P_L Variables'!G269</f>
        <v>66</v>
      </c>
      <c r="W58" s="25">
        <f>'P_L Variables'!H269</f>
        <v>33</v>
      </c>
      <c r="X58" s="25">
        <f>'P_L Variables'!I269</f>
        <v>33</v>
      </c>
      <c r="Y58" s="25">
        <f>'P_L Variables'!J269</f>
        <v>33</v>
      </c>
      <c r="Z58" s="25">
        <f>'P_L Variables'!K269</f>
        <v>44</v>
      </c>
      <c r="AA58" s="25">
        <f>'P_L Variables'!L269</f>
        <v>33</v>
      </c>
      <c r="AB58" s="25">
        <f>'P_L Variables'!M269</f>
        <v>33</v>
      </c>
      <c r="AC58" s="25">
        <f>'P_L Variables'!N269</f>
        <v>33</v>
      </c>
      <c r="AD58" s="25">
        <f>'P_L Variables'!C270</f>
        <v>44</v>
      </c>
      <c r="AE58" s="25">
        <f>'P_L Variables'!D270</f>
        <v>44</v>
      </c>
      <c r="AF58" s="25">
        <f>'P_L Variables'!E270</f>
        <v>66</v>
      </c>
      <c r="AG58" s="25">
        <f>'P_L Variables'!F270</f>
        <v>66</v>
      </c>
      <c r="AH58" s="25">
        <f>'P_L Variables'!G270</f>
        <v>66</v>
      </c>
      <c r="AI58" s="25">
        <f>'P_L Variables'!H270</f>
        <v>33</v>
      </c>
      <c r="AJ58" s="25">
        <f>'P_L Variables'!I270</f>
        <v>33</v>
      </c>
      <c r="AK58" s="25">
        <f>'P_L Variables'!J270</f>
        <v>33</v>
      </c>
      <c r="AL58" s="25">
        <f>'P_L Variables'!K270</f>
        <v>44</v>
      </c>
      <c r="AM58" s="25">
        <f>'P_L Variables'!L270</f>
        <v>33</v>
      </c>
      <c r="AN58" s="25">
        <f>'P_L Variables'!M270</f>
        <v>33</v>
      </c>
      <c r="AO58" s="25">
        <f>'P_L Variables'!N270</f>
        <v>33</v>
      </c>
      <c r="AP58" s="25">
        <f>'P_L Variables'!C271</f>
        <v>55.000000000000007</v>
      </c>
      <c r="AQ58" s="25">
        <f>'P_L Variables'!D271</f>
        <v>44</v>
      </c>
      <c r="AR58" s="25">
        <f>'P_L Variables'!E271</f>
        <v>66</v>
      </c>
      <c r="AS58" s="25">
        <f>'P_L Variables'!F271</f>
        <v>66</v>
      </c>
      <c r="AT58" s="25">
        <f>'P_L Variables'!G271</f>
        <v>66</v>
      </c>
      <c r="AU58" s="25">
        <f>'P_L Variables'!H271</f>
        <v>33</v>
      </c>
      <c r="AV58" s="25">
        <f>'P_L Variables'!I271</f>
        <v>33</v>
      </c>
      <c r="AW58" s="25">
        <f>'P_L Variables'!J271</f>
        <v>33</v>
      </c>
      <c r="AX58" s="25">
        <f>'P_L Variables'!K271</f>
        <v>44</v>
      </c>
      <c r="AY58" s="25">
        <f>'P_L Variables'!L271</f>
        <v>33</v>
      </c>
      <c r="AZ58" s="25">
        <f>'P_L Variables'!M271</f>
        <v>33</v>
      </c>
      <c r="BA58" s="25">
        <f>'P_L Variables'!N271</f>
        <v>33</v>
      </c>
    </row>
    <row r="60" spans="2:53" x14ac:dyDescent="0.25">
      <c r="B60" s="1" t="s">
        <v>100</v>
      </c>
    </row>
    <row r="61" spans="2:53" x14ac:dyDescent="0.25">
      <c r="B61" s="1" t="s">
        <v>83</v>
      </c>
      <c r="E61" s="25">
        <v>220</v>
      </c>
      <c r="F61" s="25">
        <f t="shared" ref="F61:BA61" si="29">F56*F67</f>
        <v>110</v>
      </c>
      <c r="G61" s="25">
        <f t="shared" si="29"/>
        <v>110</v>
      </c>
      <c r="H61" s="25">
        <f t="shared" si="29"/>
        <v>275.00000000000006</v>
      </c>
      <c r="I61" s="25">
        <f t="shared" si="29"/>
        <v>275.00000000000006</v>
      </c>
      <c r="J61" s="25">
        <f t="shared" si="29"/>
        <v>275.00000000000006</v>
      </c>
      <c r="K61" s="25">
        <f t="shared" si="29"/>
        <v>110</v>
      </c>
      <c r="L61" s="25">
        <f t="shared" si="29"/>
        <v>110</v>
      </c>
      <c r="M61" s="25">
        <f t="shared" si="29"/>
        <v>110</v>
      </c>
      <c r="N61" s="25">
        <f t="shared" si="29"/>
        <v>176</v>
      </c>
      <c r="O61" s="25">
        <f t="shared" si="29"/>
        <v>110</v>
      </c>
      <c r="P61" s="25">
        <f t="shared" si="29"/>
        <v>110</v>
      </c>
      <c r="Q61" s="25">
        <f t="shared" si="29"/>
        <v>110</v>
      </c>
      <c r="R61" s="25">
        <f t="shared" si="29"/>
        <v>165</v>
      </c>
      <c r="S61" s="25">
        <f t="shared" si="29"/>
        <v>165</v>
      </c>
      <c r="T61" s="25">
        <f t="shared" si="29"/>
        <v>330</v>
      </c>
      <c r="U61" s="25">
        <f t="shared" si="29"/>
        <v>330</v>
      </c>
      <c r="V61" s="25">
        <f t="shared" si="29"/>
        <v>330</v>
      </c>
      <c r="W61" s="25">
        <f t="shared" si="29"/>
        <v>165</v>
      </c>
      <c r="X61" s="25">
        <f t="shared" si="29"/>
        <v>165</v>
      </c>
      <c r="Y61" s="25">
        <f t="shared" si="29"/>
        <v>165</v>
      </c>
      <c r="Z61" s="25">
        <f t="shared" si="29"/>
        <v>220</v>
      </c>
      <c r="AA61" s="25">
        <f t="shared" si="29"/>
        <v>165</v>
      </c>
      <c r="AB61" s="25">
        <f t="shared" si="29"/>
        <v>165</v>
      </c>
      <c r="AC61" s="25">
        <f t="shared" si="29"/>
        <v>165</v>
      </c>
      <c r="AD61" s="25">
        <f t="shared" si="29"/>
        <v>220</v>
      </c>
      <c r="AE61" s="25">
        <f t="shared" si="29"/>
        <v>220</v>
      </c>
      <c r="AF61" s="25">
        <f t="shared" si="29"/>
        <v>330</v>
      </c>
      <c r="AG61" s="25">
        <f t="shared" si="29"/>
        <v>330</v>
      </c>
      <c r="AH61" s="25">
        <f t="shared" si="29"/>
        <v>330</v>
      </c>
      <c r="AI61" s="25">
        <f t="shared" si="29"/>
        <v>165</v>
      </c>
      <c r="AJ61" s="25">
        <f t="shared" si="29"/>
        <v>165</v>
      </c>
      <c r="AK61" s="25">
        <f t="shared" si="29"/>
        <v>165</v>
      </c>
      <c r="AL61" s="25">
        <f t="shared" si="29"/>
        <v>220</v>
      </c>
      <c r="AM61" s="25">
        <f t="shared" si="29"/>
        <v>165</v>
      </c>
      <c r="AN61" s="25">
        <f t="shared" si="29"/>
        <v>165</v>
      </c>
      <c r="AO61" s="25">
        <f t="shared" si="29"/>
        <v>165</v>
      </c>
      <c r="AP61" s="25">
        <f t="shared" si="29"/>
        <v>275.00000000000006</v>
      </c>
      <c r="AQ61" s="25">
        <f t="shared" si="29"/>
        <v>220</v>
      </c>
      <c r="AR61" s="25">
        <f t="shared" si="29"/>
        <v>330</v>
      </c>
      <c r="AS61" s="25">
        <f t="shared" si="29"/>
        <v>330</v>
      </c>
      <c r="AT61" s="25">
        <f t="shared" si="29"/>
        <v>330</v>
      </c>
      <c r="AU61" s="25">
        <f t="shared" si="29"/>
        <v>165</v>
      </c>
      <c r="AV61" s="25">
        <f t="shared" si="29"/>
        <v>165</v>
      </c>
      <c r="AW61" s="25">
        <f t="shared" si="29"/>
        <v>165</v>
      </c>
      <c r="AX61" s="25">
        <f t="shared" si="29"/>
        <v>220</v>
      </c>
      <c r="AY61" s="25">
        <f t="shared" si="29"/>
        <v>165</v>
      </c>
      <c r="AZ61" s="25">
        <f t="shared" si="29"/>
        <v>165</v>
      </c>
      <c r="BA61" s="25">
        <f t="shared" si="29"/>
        <v>165</v>
      </c>
    </row>
    <row r="62" spans="2:53" x14ac:dyDescent="0.25">
      <c r="B62" s="1" t="s">
        <v>86</v>
      </c>
      <c r="E62" s="25">
        <v>220</v>
      </c>
      <c r="F62" s="25">
        <f t="shared" ref="F62:BA62" si="30">F57*F67*F17</f>
        <v>110</v>
      </c>
      <c r="G62" s="25">
        <f t="shared" si="30"/>
        <v>110</v>
      </c>
      <c r="H62" s="25">
        <f t="shared" si="30"/>
        <v>275.00000000000006</v>
      </c>
      <c r="I62" s="25">
        <f t="shared" si="30"/>
        <v>275.00000000000006</v>
      </c>
      <c r="J62" s="25">
        <f t="shared" si="30"/>
        <v>275.00000000000006</v>
      </c>
      <c r="K62" s="25">
        <f t="shared" si="30"/>
        <v>110</v>
      </c>
      <c r="L62" s="25">
        <f t="shared" si="30"/>
        <v>110</v>
      </c>
      <c r="M62" s="25">
        <f t="shared" si="30"/>
        <v>110</v>
      </c>
      <c r="N62" s="25">
        <f t="shared" si="30"/>
        <v>176</v>
      </c>
      <c r="O62" s="25">
        <f t="shared" si="30"/>
        <v>110</v>
      </c>
      <c r="P62" s="25">
        <f t="shared" si="30"/>
        <v>110</v>
      </c>
      <c r="Q62" s="25">
        <f t="shared" si="30"/>
        <v>110</v>
      </c>
      <c r="R62" s="25">
        <f t="shared" si="30"/>
        <v>165</v>
      </c>
      <c r="S62" s="25">
        <f t="shared" si="30"/>
        <v>165</v>
      </c>
      <c r="T62" s="25">
        <f t="shared" si="30"/>
        <v>330</v>
      </c>
      <c r="U62" s="25">
        <f t="shared" si="30"/>
        <v>330</v>
      </c>
      <c r="V62" s="25">
        <f t="shared" si="30"/>
        <v>330</v>
      </c>
      <c r="W62" s="25">
        <f t="shared" si="30"/>
        <v>165</v>
      </c>
      <c r="X62" s="25">
        <f t="shared" si="30"/>
        <v>165</v>
      </c>
      <c r="Y62" s="25">
        <f t="shared" si="30"/>
        <v>165</v>
      </c>
      <c r="Z62" s="25">
        <f t="shared" si="30"/>
        <v>220</v>
      </c>
      <c r="AA62" s="25">
        <f t="shared" si="30"/>
        <v>165</v>
      </c>
      <c r="AB62" s="25">
        <f t="shared" si="30"/>
        <v>165</v>
      </c>
      <c r="AC62" s="25">
        <f t="shared" si="30"/>
        <v>165</v>
      </c>
      <c r="AD62" s="25">
        <f t="shared" si="30"/>
        <v>220</v>
      </c>
      <c r="AE62" s="25">
        <f t="shared" si="30"/>
        <v>220</v>
      </c>
      <c r="AF62" s="25">
        <f t="shared" si="30"/>
        <v>330</v>
      </c>
      <c r="AG62" s="25">
        <f t="shared" si="30"/>
        <v>330</v>
      </c>
      <c r="AH62" s="25">
        <f t="shared" si="30"/>
        <v>330</v>
      </c>
      <c r="AI62" s="25">
        <f t="shared" si="30"/>
        <v>165</v>
      </c>
      <c r="AJ62" s="25">
        <f t="shared" si="30"/>
        <v>165</v>
      </c>
      <c r="AK62" s="25">
        <f t="shared" si="30"/>
        <v>165</v>
      </c>
      <c r="AL62" s="25">
        <f t="shared" si="30"/>
        <v>220</v>
      </c>
      <c r="AM62" s="25">
        <f t="shared" si="30"/>
        <v>165</v>
      </c>
      <c r="AN62" s="25">
        <f t="shared" si="30"/>
        <v>165</v>
      </c>
      <c r="AO62" s="25">
        <f t="shared" si="30"/>
        <v>165</v>
      </c>
      <c r="AP62" s="25">
        <f t="shared" si="30"/>
        <v>275.00000000000006</v>
      </c>
      <c r="AQ62" s="25">
        <f t="shared" si="30"/>
        <v>220</v>
      </c>
      <c r="AR62" s="25">
        <f t="shared" si="30"/>
        <v>330</v>
      </c>
      <c r="AS62" s="25">
        <f t="shared" si="30"/>
        <v>330</v>
      </c>
      <c r="AT62" s="25">
        <f t="shared" si="30"/>
        <v>330</v>
      </c>
      <c r="AU62" s="25">
        <f t="shared" si="30"/>
        <v>165</v>
      </c>
      <c r="AV62" s="25">
        <f t="shared" si="30"/>
        <v>165</v>
      </c>
      <c r="AW62" s="25">
        <f t="shared" si="30"/>
        <v>165</v>
      </c>
      <c r="AX62" s="25">
        <f t="shared" si="30"/>
        <v>220</v>
      </c>
      <c r="AY62" s="25">
        <f t="shared" si="30"/>
        <v>165</v>
      </c>
      <c r="AZ62" s="25">
        <f t="shared" si="30"/>
        <v>165</v>
      </c>
      <c r="BA62" s="25">
        <f t="shared" si="30"/>
        <v>165</v>
      </c>
    </row>
    <row r="63" spans="2:53" x14ac:dyDescent="0.25">
      <c r="B63" s="1" t="s">
        <v>88</v>
      </c>
      <c r="E63" s="25">
        <v>189</v>
      </c>
      <c r="F63" s="25">
        <f t="shared" ref="F63:BA63" si="31">F58*F67*F23</f>
        <v>94.27</v>
      </c>
      <c r="G63" s="25">
        <f t="shared" si="31"/>
        <v>94.27</v>
      </c>
      <c r="H63" s="25">
        <f t="shared" si="31"/>
        <v>235.67500000000004</v>
      </c>
      <c r="I63" s="25">
        <f t="shared" si="31"/>
        <v>235.67500000000004</v>
      </c>
      <c r="J63" s="25">
        <f t="shared" si="31"/>
        <v>235.67500000000004</v>
      </c>
      <c r="K63" s="25">
        <f t="shared" si="31"/>
        <v>94.27</v>
      </c>
      <c r="L63" s="25">
        <f t="shared" si="31"/>
        <v>94.27</v>
      </c>
      <c r="M63" s="25">
        <f t="shared" si="31"/>
        <v>94.27</v>
      </c>
      <c r="N63" s="25">
        <f t="shared" si="31"/>
        <v>150.83199999999999</v>
      </c>
      <c r="O63" s="25">
        <f t="shared" si="31"/>
        <v>94.27</v>
      </c>
      <c r="P63" s="25">
        <f t="shared" si="31"/>
        <v>94.27</v>
      </c>
      <c r="Q63" s="25">
        <f t="shared" si="31"/>
        <v>94.27</v>
      </c>
      <c r="R63" s="25">
        <f t="shared" si="31"/>
        <v>141.405</v>
      </c>
      <c r="S63" s="25">
        <f t="shared" si="31"/>
        <v>141.405</v>
      </c>
      <c r="T63" s="25">
        <f t="shared" si="31"/>
        <v>282.81</v>
      </c>
      <c r="U63" s="25">
        <f t="shared" si="31"/>
        <v>282.81</v>
      </c>
      <c r="V63" s="25">
        <f t="shared" si="31"/>
        <v>282.81</v>
      </c>
      <c r="W63" s="25">
        <f t="shared" si="31"/>
        <v>141.405</v>
      </c>
      <c r="X63" s="25">
        <f t="shared" si="31"/>
        <v>141.405</v>
      </c>
      <c r="Y63" s="25">
        <f t="shared" si="31"/>
        <v>141.405</v>
      </c>
      <c r="Z63" s="25">
        <f t="shared" si="31"/>
        <v>188.54</v>
      </c>
      <c r="AA63" s="25">
        <f t="shared" si="31"/>
        <v>141.405</v>
      </c>
      <c r="AB63" s="25">
        <f t="shared" si="31"/>
        <v>141.405</v>
      </c>
      <c r="AC63" s="25">
        <f t="shared" si="31"/>
        <v>141.405</v>
      </c>
      <c r="AD63" s="25">
        <f t="shared" si="31"/>
        <v>188.54</v>
      </c>
      <c r="AE63" s="25">
        <f t="shared" si="31"/>
        <v>188.54</v>
      </c>
      <c r="AF63" s="25">
        <f t="shared" si="31"/>
        <v>282.81</v>
      </c>
      <c r="AG63" s="25">
        <f t="shared" si="31"/>
        <v>282.81</v>
      </c>
      <c r="AH63" s="25">
        <f t="shared" si="31"/>
        <v>282.81</v>
      </c>
      <c r="AI63" s="25">
        <f t="shared" si="31"/>
        <v>141.405</v>
      </c>
      <c r="AJ63" s="25">
        <f t="shared" si="31"/>
        <v>141.405</v>
      </c>
      <c r="AK63" s="25">
        <f t="shared" si="31"/>
        <v>141.405</v>
      </c>
      <c r="AL63" s="25">
        <f t="shared" si="31"/>
        <v>188.54</v>
      </c>
      <c r="AM63" s="25">
        <f t="shared" si="31"/>
        <v>141.405</v>
      </c>
      <c r="AN63" s="25">
        <f t="shared" si="31"/>
        <v>141.405</v>
      </c>
      <c r="AO63" s="25">
        <f t="shared" si="31"/>
        <v>141.405</v>
      </c>
      <c r="AP63" s="25">
        <f t="shared" si="31"/>
        <v>235.67500000000004</v>
      </c>
      <c r="AQ63" s="25">
        <f t="shared" si="31"/>
        <v>188.54</v>
      </c>
      <c r="AR63" s="25">
        <f t="shared" si="31"/>
        <v>282.81</v>
      </c>
      <c r="AS63" s="25">
        <f t="shared" si="31"/>
        <v>282.81</v>
      </c>
      <c r="AT63" s="25">
        <f t="shared" si="31"/>
        <v>282.81</v>
      </c>
      <c r="AU63" s="25">
        <f t="shared" si="31"/>
        <v>141.405</v>
      </c>
      <c r="AV63" s="25">
        <f t="shared" si="31"/>
        <v>141.405</v>
      </c>
      <c r="AW63" s="25">
        <f t="shared" si="31"/>
        <v>141.405</v>
      </c>
      <c r="AX63" s="25">
        <f t="shared" si="31"/>
        <v>188.54</v>
      </c>
      <c r="AY63" s="25">
        <f t="shared" si="31"/>
        <v>141.405</v>
      </c>
      <c r="AZ63" s="25">
        <f t="shared" si="31"/>
        <v>141.405</v>
      </c>
      <c r="BA63" s="25">
        <f t="shared" si="31"/>
        <v>141.405</v>
      </c>
    </row>
    <row r="64" spans="2:53" x14ac:dyDescent="0.25">
      <c r="E64" s="25">
        <f>E61+E62+E63</f>
        <v>629</v>
      </c>
      <c r="F64" s="28">
        <f t="shared" ref="F64:BA64" si="32">SUM(F61:F63)</f>
        <v>314.27</v>
      </c>
      <c r="G64" s="28">
        <f t="shared" si="32"/>
        <v>314.27</v>
      </c>
      <c r="H64" s="28">
        <f t="shared" si="32"/>
        <v>785.67500000000018</v>
      </c>
      <c r="I64" s="28">
        <f t="shared" si="32"/>
        <v>785.67500000000018</v>
      </c>
      <c r="J64" s="28">
        <f t="shared" si="32"/>
        <v>785.67500000000018</v>
      </c>
      <c r="K64" s="28">
        <f t="shared" si="32"/>
        <v>314.27</v>
      </c>
      <c r="L64" s="28">
        <f t="shared" si="32"/>
        <v>314.27</v>
      </c>
      <c r="M64" s="28">
        <f t="shared" si="32"/>
        <v>314.27</v>
      </c>
      <c r="N64" s="28">
        <f t="shared" si="32"/>
        <v>502.83199999999999</v>
      </c>
      <c r="O64" s="28">
        <f t="shared" si="32"/>
        <v>314.27</v>
      </c>
      <c r="P64" s="28">
        <f t="shared" si="32"/>
        <v>314.27</v>
      </c>
      <c r="Q64" s="28">
        <f t="shared" si="32"/>
        <v>314.27</v>
      </c>
      <c r="R64" s="28">
        <f t="shared" si="32"/>
        <v>471.40499999999997</v>
      </c>
      <c r="S64" s="28">
        <f t="shared" si="32"/>
        <v>471.40499999999997</v>
      </c>
      <c r="T64" s="28">
        <f t="shared" si="32"/>
        <v>942.81</v>
      </c>
      <c r="U64" s="28">
        <f t="shared" si="32"/>
        <v>942.81</v>
      </c>
      <c r="V64" s="28">
        <f t="shared" si="32"/>
        <v>942.81</v>
      </c>
      <c r="W64" s="28">
        <f t="shared" si="32"/>
        <v>471.40499999999997</v>
      </c>
      <c r="X64" s="28">
        <f t="shared" si="32"/>
        <v>471.40499999999997</v>
      </c>
      <c r="Y64" s="28">
        <f t="shared" si="32"/>
        <v>471.40499999999997</v>
      </c>
      <c r="Z64" s="28">
        <f t="shared" si="32"/>
        <v>628.54</v>
      </c>
      <c r="AA64" s="28">
        <f t="shared" si="32"/>
        <v>471.40499999999997</v>
      </c>
      <c r="AB64" s="28">
        <f t="shared" si="32"/>
        <v>471.40499999999997</v>
      </c>
      <c r="AC64" s="28">
        <f t="shared" si="32"/>
        <v>471.40499999999997</v>
      </c>
      <c r="AD64" s="28">
        <f t="shared" si="32"/>
        <v>628.54</v>
      </c>
      <c r="AE64" s="28">
        <f t="shared" si="32"/>
        <v>628.54</v>
      </c>
      <c r="AF64" s="28">
        <f t="shared" si="32"/>
        <v>942.81</v>
      </c>
      <c r="AG64" s="28">
        <f t="shared" si="32"/>
        <v>942.81</v>
      </c>
      <c r="AH64" s="28">
        <f t="shared" si="32"/>
        <v>942.81</v>
      </c>
      <c r="AI64" s="28">
        <f t="shared" si="32"/>
        <v>471.40499999999997</v>
      </c>
      <c r="AJ64" s="28">
        <f t="shared" si="32"/>
        <v>471.40499999999997</v>
      </c>
      <c r="AK64" s="28">
        <f t="shared" si="32"/>
        <v>471.40499999999997</v>
      </c>
      <c r="AL64" s="28">
        <f t="shared" si="32"/>
        <v>628.54</v>
      </c>
      <c r="AM64" s="28">
        <f t="shared" si="32"/>
        <v>471.40499999999997</v>
      </c>
      <c r="AN64" s="28">
        <f t="shared" si="32"/>
        <v>471.40499999999997</v>
      </c>
      <c r="AO64" s="28">
        <f t="shared" si="32"/>
        <v>471.40499999999997</v>
      </c>
      <c r="AP64" s="28">
        <f t="shared" si="32"/>
        <v>785.67500000000018</v>
      </c>
      <c r="AQ64" s="28">
        <f t="shared" si="32"/>
        <v>628.54</v>
      </c>
      <c r="AR64" s="28">
        <f t="shared" si="32"/>
        <v>942.81</v>
      </c>
      <c r="AS64" s="28">
        <f t="shared" si="32"/>
        <v>942.81</v>
      </c>
      <c r="AT64" s="28">
        <f t="shared" si="32"/>
        <v>942.81</v>
      </c>
      <c r="AU64" s="28">
        <f t="shared" si="32"/>
        <v>471.40499999999997</v>
      </c>
      <c r="AV64" s="28">
        <f t="shared" si="32"/>
        <v>471.40499999999997</v>
      </c>
      <c r="AW64" s="28">
        <f t="shared" si="32"/>
        <v>471.40499999999997</v>
      </c>
      <c r="AX64" s="28">
        <f t="shared" si="32"/>
        <v>628.54</v>
      </c>
      <c r="AY64" s="28">
        <f t="shared" si="32"/>
        <v>471.40499999999997</v>
      </c>
      <c r="AZ64" s="28">
        <f t="shared" si="32"/>
        <v>471.40499999999997</v>
      </c>
      <c r="BA64" s="28">
        <f t="shared" si="32"/>
        <v>471.40499999999997</v>
      </c>
    </row>
    <row r="66" spans="1:53" x14ac:dyDescent="0.25">
      <c r="B66" s="34" t="s">
        <v>93</v>
      </c>
      <c r="C66" s="25">
        <f t="shared" ref="C66:AH66" si="33">C37</f>
        <v>0</v>
      </c>
      <c r="D66" s="25">
        <f t="shared" si="33"/>
        <v>0</v>
      </c>
      <c r="E66" s="25">
        <f t="shared" si="33"/>
        <v>7</v>
      </c>
      <c r="F66" s="25">
        <f t="shared" si="33"/>
        <v>29</v>
      </c>
      <c r="G66" s="25">
        <f t="shared" si="33"/>
        <v>31</v>
      </c>
      <c r="H66" s="25">
        <f t="shared" si="33"/>
        <v>30</v>
      </c>
      <c r="I66" s="25">
        <f t="shared" si="33"/>
        <v>31</v>
      </c>
      <c r="J66" s="25">
        <f t="shared" si="33"/>
        <v>31</v>
      </c>
      <c r="K66" s="25">
        <f t="shared" si="33"/>
        <v>30</v>
      </c>
      <c r="L66" s="25">
        <f t="shared" si="33"/>
        <v>31</v>
      </c>
      <c r="M66" s="25">
        <f t="shared" si="33"/>
        <v>29</v>
      </c>
      <c r="N66" s="25">
        <f t="shared" si="33"/>
        <v>31</v>
      </c>
      <c r="O66" s="25">
        <f t="shared" si="33"/>
        <v>19</v>
      </c>
      <c r="P66" s="25">
        <f t="shared" si="33"/>
        <v>27</v>
      </c>
      <c r="Q66" s="25">
        <f t="shared" si="33"/>
        <v>31</v>
      </c>
      <c r="R66" s="25">
        <f t="shared" si="33"/>
        <v>29</v>
      </c>
      <c r="S66" s="25">
        <f t="shared" si="33"/>
        <v>31</v>
      </c>
      <c r="T66" s="25">
        <f t="shared" si="33"/>
        <v>30</v>
      </c>
      <c r="U66" s="25">
        <f t="shared" si="33"/>
        <v>31</v>
      </c>
      <c r="V66" s="25">
        <f t="shared" si="33"/>
        <v>31</v>
      </c>
      <c r="W66" s="25">
        <f t="shared" si="33"/>
        <v>30</v>
      </c>
      <c r="X66" s="25">
        <f t="shared" si="33"/>
        <v>31</v>
      </c>
      <c r="Y66" s="25">
        <f t="shared" si="33"/>
        <v>29</v>
      </c>
      <c r="Z66" s="25">
        <f t="shared" si="33"/>
        <v>31</v>
      </c>
      <c r="AA66" s="25">
        <f t="shared" si="33"/>
        <v>18</v>
      </c>
      <c r="AB66" s="25">
        <f t="shared" si="33"/>
        <v>28</v>
      </c>
      <c r="AC66" s="25">
        <f t="shared" si="33"/>
        <v>31</v>
      </c>
      <c r="AD66" s="25">
        <f t="shared" si="33"/>
        <v>29</v>
      </c>
      <c r="AE66" s="25">
        <f t="shared" si="33"/>
        <v>31</v>
      </c>
      <c r="AF66" s="25">
        <f t="shared" si="33"/>
        <v>30</v>
      </c>
      <c r="AG66" s="25">
        <f t="shared" si="33"/>
        <v>31</v>
      </c>
      <c r="AH66" s="25">
        <f t="shared" si="33"/>
        <v>31</v>
      </c>
      <c r="AI66" s="25">
        <f t="shared" ref="AI66:BA66" si="34">AI37</f>
        <v>30</v>
      </c>
      <c r="AJ66" s="25">
        <f t="shared" si="34"/>
        <v>31</v>
      </c>
      <c r="AK66" s="25">
        <f t="shared" si="34"/>
        <v>29</v>
      </c>
      <c r="AL66" s="25">
        <f t="shared" si="34"/>
        <v>31</v>
      </c>
      <c r="AM66" s="25">
        <f t="shared" si="34"/>
        <v>19</v>
      </c>
      <c r="AN66" s="25">
        <f t="shared" si="34"/>
        <v>27</v>
      </c>
      <c r="AO66" s="25">
        <f t="shared" si="34"/>
        <v>31</v>
      </c>
      <c r="AP66" s="25">
        <f t="shared" si="34"/>
        <v>29</v>
      </c>
      <c r="AQ66" s="25">
        <f t="shared" si="34"/>
        <v>31</v>
      </c>
      <c r="AR66" s="25">
        <f t="shared" si="34"/>
        <v>30</v>
      </c>
      <c r="AS66" s="25">
        <f t="shared" si="34"/>
        <v>31</v>
      </c>
      <c r="AT66" s="25">
        <f t="shared" si="34"/>
        <v>31</v>
      </c>
      <c r="AU66" s="25">
        <f t="shared" si="34"/>
        <v>30</v>
      </c>
      <c r="AV66" s="25">
        <f t="shared" si="34"/>
        <v>31</v>
      </c>
      <c r="AW66" s="25">
        <f t="shared" si="34"/>
        <v>29</v>
      </c>
      <c r="AX66" s="25">
        <f t="shared" si="34"/>
        <v>31</v>
      </c>
      <c r="AY66" s="25">
        <f t="shared" si="34"/>
        <v>19</v>
      </c>
      <c r="AZ66" s="25">
        <f t="shared" si="34"/>
        <v>27</v>
      </c>
      <c r="BA66" s="25">
        <f t="shared" si="34"/>
        <v>31</v>
      </c>
    </row>
    <row r="67" spans="1:53" x14ac:dyDescent="0.25">
      <c r="B67" s="1" t="s">
        <v>101</v>
      </c>
      <c r="C67" s="25">
        <f>'P_L Variables'!L203</f>
        <v>0</v>
      </c>
      <c r="D67" s="25">
        <f>'P_L Variables'!M203</f>
        <v>0</v>
      </c>
      <c r="E67" s="25">
        <v>5</v>
      </c>
      <c r="F67" s="25">
        <v>5</v>
      </c>
      <c r="G67" s="25">
        <f>'P_L Variables'!D204</f>
        <v>5</v>
      </c>
      <c r="H67" s="25">
        <f>'P_L Variables'!E204</f>
        <v>5</v>
      </c>
      <c r="I67" s="25">
        <f>'P_L Variables'!F204</f>
        <v>5</v>
      </c>
      <c r="J67" s="25">
        <f>'P_L Variables'!G204</f>
        <v>5</v>
      </c>
      <c r="K67" s="25">
        <f>'P_L Variables'!H204</f>
        <v>5</v>
      </c>
      <c r="L67" s="25">
        <f>'P_L Variables'!I204</f>
        <v>5</v>
      </c>
      <c r="M67" s="25">
        <f>'P_L Variables'!J204</f>
        <v>5</v>
      </c>
      <c r="N67" s="25">
        <f>'P_L Variables'!K204</f>
        <v>5</v>
      </c>
      <c r="O67" s="25">
        <f>'P_L Variables'!L204</f>
        <v>5</v>
      </c>
      <c r="P67" s="25">
        <f>'P_L Variables'!M204</f>
        <v>5</v>
      </c>
      <c r="Q67" s="25">
        <f>'P_L Variables'!N204</f>
        <v>5</v>
      </c>
      <c r="R67" s="25">
        <f>'P_L Variables'!C205</f>
        <v>5</v>
      </c>
      <c r="S67" s="25">
        <f>'P_L Variables'!D205</f>
        <v>5</v>
      </c>
      <c r="T67" s="25">
        <f>'P_L Variables'!E205</f>
        <v>5</v>
      </c>
      <c r="U67" s="25">
        <f>'P_L Variables'!F205</f>
        <v>5</v>
      </c>
      <c r="V67" s="25">
        <f>'P_L Variables'!G205</f>
        <v>5</v>
      </c>
      <c r="W67" s="25">
        <f>'P_L Variables'!H205</f>
        <v>5</v>
      </c>
      <c r="X67" s="25">
        <f>'P_L Variables'!I205</f>
        <v>5</v>
      </c>
      <c r="Y67" s="25">
        <f>'P_L Variables'!J205</f>
        <v>5</v>
      </c>
      <c r="Z67" s="25">
        <f>'P_L Variables'!K205</f>
        <v>5</v>
      </c>
      <c r="AA67" s="25">
        <f>'P_L Variables'!L205</f>
        <v>5</v>
      </c>
      <c r="AB67" s="25">
        <f>'P_L Variables'!M205</f>
        <v>5</v>
      </c>
      <c r="AC67" s="25">
        <f>'P_L Variables'!N205</f>
        <v>5</v>
      </c>
      <c r="AD67" s="25">
        <f>'P_L Variables'!C206</f>
        <v>5</v>
      </c>
      <c r="AE67" s="25">
        <f>'P_L Variables'!D206</f>
        <v>5</v>
      </c>
      <c r="AF67" s="25">
        <f>'P_L Variables'!E206</f>
        <v>5</v>
      </c>
      <c r="AG67" s="25">
        <f>'P_L Variables'!F206</f>
        <v>5</v>
      </c>
      <c r="AH67" s="25">
        <f>'P_L Variables'!G206</f>
        <v>5</v>
      </c>
      <c r="AI67" s="25">
        <f>'P_L Variables'!H206</f>
        <v>5</v>
      </c>
      <c r="AJ67" s="25">
        <f>'P_L Variables'!I206</f>
        <v>5</v>
      </c>
      <c r="AK67" s="25">
        <f>'P_L Variables'!J206</f>
        <v>5</v>
      </c>
      <c r="AL67" s="25">
        <f>'P_L Variables'!K206</f>
        <v>5</v>
      </c>
      <c r="AM67" s="25">
        <f>'P_L Variables'!L206</f>
        <v>5</v>
      </c>
      <c r="AN67" s="25">
        <f>'P_L Variables'!M206</f>
        <v>5</v>
      </c>
      <c r="AO67" s="25">
        <f>'P_L Variables'!N206</f>
        <v>5</v>
      </c>
      <c r="AP67" s="25">
        <f>'P_L Variables'!C207</f>
        <v>5</v>
      </c>
      <c r="AQ67" s="25">
        <f>'P_L Variables'!D207</f>
        <v>5</v>
      </c>
      <c r="AR67" s="25">
        <f>'P_L Variables'!E207</f>
        <v>5</v>
      </c>
      <c r="AS67" s="25">
        <f>'P_L Variables'!F207</f>
        <v>5</v>
      </c>
      <c r="AT67" s="25">
        <f>'P_L Variables'!G207</f>
        <v>5</v>
      </c>
      <c r="AU67" s="25">
        <f>'P_L Variables'!H207</f>
        <v>5</v>
      </c>
      <c r="AV67" s="25">
        <f>'P_L Variables'!I207</f>
        <v>5</v>
      </c>
      <c r="AW67" s="25">
        <f>'P_L Variables'!J207</f>
        <v>5</v>
      </c>
      <c r="AX67" s="25">
        <f>'P_L Variables'!K207</f>
        <v>5</v>
      </c>
      <c r="AY67" s="25">
        <f>'P_L Variables'!L207</f>
        <v>5</v>
      </c>
      <c r="AZ67" s="25">
        <f>'P_L Variables'!M207</f>
        <v>5</v>
      </c>
      <c r="BA67" s="25">
        <f>'P_L Variables'!N207</f>
        <v>5</v>
      </c>
    </row>
    <row r="69" spans="1:53" ht="13" x14ac:dyDescent="0.3">
      <c r="B69" s="36" t="s">
        <v>102</v>
      </c>
      <c r="C69" s="39">
        <f>C55*C66*C67</f>
        <v>0</v>
      </c>
      <c r="D69" s="39">
        <f>D55*D66*D67</f>
        <v>0</v>
      </c>
      <c r="E69" s="39">
        <f>(E56+E57+E58)*E66*E67</f>
        <v>2310</v>
      </c>
      <c r="F69" s="39">
        <f t="shared" ref="F69:BA69" si="35">F64*F66</f>
        <v>9113.83</v>
      </c>
      <c r="G69" s="39">
        <f t="shared" si="35"/>
        <v>9742.369999999999</v>
      </c>
      <c r="H69" s="39">
        <f t="shared" si="35"/>
        <v>23570.250000000007</v>
      </c>
      <c r="I69" s="39">
        <f t="shared" si="35"/>
        <v>24355.925000000007</v>
      </c>
      <c r="J69" s="39">
        <f t="shared" si="35"/>
        <v>24355.925000000007</v>
      </c>
      <c r="K69" s="39">
        <f t="shared" si="35"/>
        <v>9428.0999999999985</v>
      </c>
      <c r="L69" s="39">
        <f t="shared" si="35"/>
        <v>9742.369999999999</v>
      </c>
      <c r="M69" s="39">
        <f t="shared" si="35"/>
        <v>9113.83</v>
      </c>
      <c r="N69" s="39">
        <f t="shared" si="35"/>
        <v>15587.791999999999</v>
      </c>
      <c r="O69" s="39">
        <f t="shared" si="35"/>
        <v>5971.1299999999992</v>
      </c>
      <c r="P69" s="39">
        <f t="shared" si="35"/>
        <v>8485.2899999999991</v>
      </c>
      <c r="Q69" s="39">
        <f t="shared" si="35"/>
        <v>9742.369999999999</v>
      </c>
      <c r="R69" s="39">
        <f t="shared" si="35"/>
        <v>13670.744999999999</v>
      </c>
      <c r="S69" s="39">
        <f t="shared" si="35"/>
        <v>14613.554999999998</v>
      </c>
      <c r="T69" s="39">
        <f t="shared" si="35"/>
        <v>28284.3</v>
      </c>
      <c r="U69" s="39">
        <f t="shared" si="35"/>
        <v>29227.109999999997</v>
      </c>
      <c r="V69" s="39">
        <f t="shared" si="35"/>
        <v>29227.109999999997</v>
      </c>
      <c r="W69" s="39">
        <f t="shared" si="35"/>
        <v>14142.15</v>
      </c>
      <c r="X69" s="39">
        <f t="shared" si="35"/>
        <v>14613.554999999998</v>
      </c>
      <c r="Y69" s="39">
        <f t="shared" si="35"/>
        <v>13670.744999999999</v>
      </c>
      <c r="Z69" s="39">
        <f t="shared" si="35"/>
        <v>19484.739999999998</v>
      </c>
      <c r="AA69" s="39">
        <f t="shared" si="35"/>
        <v>8485.2899999999991</v>
      </c>
      <c r="AB69" s="39">
        <f t="shared" si="35"/>
        <v>13199.34</v>
      </c>
      <c r="AC69" s="39">
        <f t="shared" si="35"/>
        <v>14613.554999999998</v>
      </c>
      <c r="AD69" s="39">
        <f t="shared" si="35"/>
        <v>18227.66</v>
      </c>
      <c r="AE69" s="39">
        <f t="shared" si="35"/>
        <v>19484.739999999998</v>
      </c>
      <c r="AF69" s="39">
        <f t="shared" si="35"/>
        <v>28284.3</v>
      </c>
      <c r="AG69" s="39">
        <f t="shared" si="35"/>
        <v>29227.109999999997</v>
      </c>
      <c r="AH69" s="39">
        <f t="shared" si="35"/>
        <v>29227.109999999997</v>
      </c>
      <c r="AI69" s="39">
        <f t="shared" si="35"/>
        <v>14142.15</v>
      </c>
      <c r="AJ69" s="39">
        <f t="shared" si="35"/>
        <v>14613.554999999998</v>
      </c>
      <c r="AK69" s="39">
        <f t="shared" si="35"/>
        <v>13670.744999999999</v>
      </c>
      <c r="AL69" s="39">
        <f t="shared" si="35"/>
        <v>19484.739999999998</v>
      </c>
      <c r="AM69" s="39">
        <f t="shared" si="35"/>
        <v>8956.6949999999997</v>
      </c>
      <c r="AN69" s="39">
        <f t="shared" si="35"/>
        <v>12727.934999999999</v>
      </c>
      <c r="AO69" s="39">
        <f t="shared" si="35"/>
        <v>14613.554999999998</v>
      </c>
      <c r="AP69" s="39">
        <f t="shared" si="35"/>
        <v>22784.575000000004</v>
      </c>
      <c r="AQ69" s="39">
        <f t="shared" si="35"/>
        <v>19484.739999999998</v>
      </c>
      <c r="AR69" s="39">
        <f t="shared" si="35"/>
        <v>28284.3</v>
      </c>
      <c r="AS69" s="39">
        <f t="shared" si="35"/>
        <v>29227.109999999997</v>
      </c>
      <c r="AT69" s="39">
        <f t="shared" si="35"/>
        <v>29227.109999999997</v>
      </c>
      <c r="AU69" s="39">
        <f t="shared" si="35"/>
        <v>14142.15</v>
      </c>
      <c r="AV69" s="39">
        <f t="shared" si="35"/>
        <v>14613.554999999998</v>
      </c>
      <c r="AW69" s="39">
        <f t="shared" si="35"/>
        <v>13670.744999999999</v>
      </c>
      <c r="AX69" s="39">
        <f t="shared" si="35"/>
        <v>19484.739999999998</v>
      </c>
      <c r="AY69" s="39">
        <f t="shared" si="35"/>
        <v>8956.6949999999997</v>
      </c>
      <c r="AZ69" s="39">
        <f t="shared" si="35"/>
        <v>12727.934999999999</v>
      </c>
      <c r="BA69" s="39">
        <f t="shared" si="35"/>
        <v>14613.554999999998</v>
      </c>
    </row>
    <row r="70" spans="1:53" ht="13" x14ac:dyDescent="0.3">
      <c r="B70" s="36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</row>
    <row r="71" spans="1:53" ht="13" x14ac:dyDescent="0.3">
      <c r="B71" s="36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</row>
    <row r="72" spans="1:53" x14ac:dyDescent="0.25">
      <c r="B72" s="1" t="s">
        <v>103</v>
      </c>
      <c r="E72" s="25">
        <v>700</v>
      </c>
      <c r="F72" s="25">
        <v>700</v>
      </c>
      <c r="G72" s="25">
        <v>700</v>
      </c>
      <c r="H72" s="25">
        <v>700</v>
      </c>
      <c r="I72" s="25">
        <v>700</v>
      </c>
      <c r="J72" s="25">
        <v>700</v>
      </c>
      <c r="K72" s="25">
        <v>700</v>
      </c>
      <c r="L72" s="25">
        <v>700</v>
      </c>
      <c r="M72" s="25">
        <v>700</v>
      </c>
      <c r="N72" s="25">
        <v>700</v>
      </c>
      <c r="O72" s="25">
        <v>700</v>
      </c>
      <c r="P72" s="25">
        <v>700</v>
      </c>
      <c r="Q72" s="25">
        <v>700</v>
      </c>
      <c r="R72" s="25">
        <v>700</v>
      </c>
      <c r="S72" s="25">
        <v>700</v>
      </c>
      <c r="T72" s="25">
        <v>700</v>
      </c>
      <c r="U72" s="25">
        <v>700</v>
      </c>
      <c r="V72" s="25">
        <v>700</v>
      </c>
      <c r="W72" s="25">
        <v>700</v>
      </c>
      <c r="X72" s="25">
        <v>700</v>
      </c>
      <c r="Y72" s="25">
        <v>700</v>
      </c>
      <c r="Z72" s="25">
        <v>700</v>
      </c>
      <c r="AA72" s="25">
        <v>700</v>
      </c>
      <c r="AB72" s="25">
        <v>700</v>
      </c>
      <c r="AC72" s="25">
        <v>700</v>
      </c>
      <c r="AD72" s="25">
        <v>700</v>
      </c>
      <c r="AE72" s="25">
        <v>700</v>
      </c>
      <c r="AF72" s="25">
        <v>700</v>
      </c>
      <c r="AG72" s="25">
        <v>700</v>
      </c>
      <c r="AH72" s="25">
        <v>700</v>
      </c>
      <c r="AI72" s="25">
        <v>700</v>
      </c>
      <c r="AJ72" s="25">
        <v>700</v>
      </c>
      <c r="AK72" s="25">
        <v>700</v>
      </c>
      <c r="AL72" s="25">
        <v>700</v>
      </c>
      <c r="AM72" s="25">
        <v>700</v>
      </c>
      <c r="AN72" s="25">
        <v>700</v>
      </c>
      <c r="AO72" s="25">
        <v>700</v>
      </c>
      <c r="AP72" s="25">
        <v>700</v>
      </c>
      <c r="AQ72" s="25">
        <v>700</v>
      </c>
      <c r="AR72" s="25">
        <v>700</v>
      </c>
      <c r="AS72" s="25">
        <v>700</v>
      </c>
      <c r="AT72" s="25">
        <v>700</v>
      </c>
      <c r="AU72" s="25">
        <v>700</v>
      </c>
      <c r="AV72" s="25">
        <v>700</v>
      </c>
      <c r="AW72" s="25">
        <v>700</v>
      </c>
      <c r="AX72" s="25">
        <v>700</v>
      </c>
      <c r="AY72" s="25">
        <v>700</v>
      </c>
      <c r="AZ72" s="25">
        <v>700</v>
      </c>
      <c r="BA72" s="25">
        <v>700</v>
      </c>
    </row>
    <row r="74" spans="1:53" ht="13" x14ac:dyDescent="0.3">
      <c r="B74" s="36" t="s">
        <v>104</v>
      </c>
      <c r="E74" s="25">
        <v>2000</v>
      </c>
      <c r="F74" s="25">
        <f t="shared" ref="F74:BA74" si="36">F72*F66</f>
        <v>20300</v>
      </c>
      <c r="G74" s="25">
        <f t="shared" si="36"/>
        <v>21700</v>
      </c>
      <c r="H74" s="25">
        <f t="shared" si="36"/>
        <v>21000</v>
      </c>
      <c r="I74" s="25">
        <f t="shared" si="36"/>
        <v>21700</v>
      </c>
      <c r="J74" s="25">
        <f t="shared" si="36"/>
        <v>21700</v>
      </c>
      <c r="K74" s="25">
        <f t="shared" si="36"/>
        <v>21000</v>
      </c>
      <c r="L74" s="25">
        <f t="shared" si="36"/>
        <v>21700</v>
      </c>
      <c r="M74" s="25">
        <f t="shared" si="36"/>
        <v>20300</v>
      </c>
      <c r="N74" s="25">
        <f t="shared" si="36"/>
        <v>21700</v>
      </c>
      <c r="O74" s="25">
        <f t="shared" si="36"/>
        <v>13300</v>
      </c>
      <c r="P74" s="25">
        <f t="shared" si="36"/>
        <v>18900</v>
      </c>
      <c r="Q74" s="25">
        <f t="shared" si="36"/>
        <v>21700</v>
      </c>
      <c r="R74" s="25">
        <f t="shared" si="36"/>
        <v>20300</v>
      </c>
      <c r="S74" s="25">
        <f t="shared" si="36"/>
        <v>21700</v>
      </c>
      <c r="T74" s="25">
        <f t="shared" si="36"/>
        <v>21000</v>
      </c>
      <c r="U74" s="25">
        <f t="shared" si="36"/>
        <v>21700</v>
      </c>
      <c r="V74" s="25">
        <f t="shared" si="36"/>
        <v>21700</v>
      </c>
      <c r="W74" s="25">
        <f t="shared" si="36"/>
        <v>21000</v>
      </c>
      <c r="X74" s="25">
        <f t="shared" si="36"/>
        <v>21700</v>
      </c>
      <c r="Y74" s="25">
        <f t="shared" si="36"/>
        <v>20300</v>
      </c>
      <c r="Z74" s="25">
        <f t="shared" si="36"/>
        <v>21700</v>
      </c>
      <c r="AA74" s="25">
        <f t="shared" si="36"/>
        <v>12600</v>
      </c>
      <c r="AB74" s="25">
        <f t="shared" si="36"/>
        <v>19600</v>
      </c>
      <c r="AC74" s="25">
        <f t="shared" si="36"/>
        <v>21700</v>
      </c>
      <c r="AD74" s="25">
        <f t="shared" si="36"/>
        <v>20300</v>
      </c>
      <c r="AE74" s="25">
        <f t="shared" si="36"/>
        <v>21700</v>
      </c>
      <c r="AF74" s="25">
        <f t="shared" si="36"/>
        <v>21000</v>
      </c>
      <c r="AG74" s="25">
        <f t="shared" si="36"/>
        <v>21700</v>
      </c>
      <c r="AH74" s="25">
        <f t="shared" si="36"/>
        <v>21700</v>
      </c>
      <c r="AI74" s="25">
        <f t="shared" si="36"/>
        <v>21000</v>
      </c>
      <c r="AJ74" s="25">
        <f t="shared" si="36"/>
        <v>21700</v>
      </c>
      <c r="AK74" s="25">
        <f t="shared" si="36"/>
        <v>20300</v>
      </c>
      <c r="AL74" s="25">
        <f t="shared" si="36"/>
        <v>21700</v>
      </c>
      <c r="AM74" s="25">
        <f t="shared" si="36"/>
        <v>13300</v>
      </c>
      <c r="AN74" s="25">
        <f t="shared" si="36"/>
        <v>18900</v>
      </c>
      <c r="AO74" s="25">
        <f t="shared" si="36"/>
        <v>21700</v>
      </c>
      <c r="AP74" s="25">
        <f t="shared" si="36"/>
        <v>20300</v>
      </c>
      <c r="AQ74" s="25">
        <f t="shared" si="36"/>
        <v>21700</v>
      </c>
      <c r="AR74" s="25">
        <f t="shared" si="36"/>
        <v>21000</v>
      </c>
      <c r="AS74" s="25">
        <f t="shared" si="36"/>
        <v>21700</v>
      </c>
      <c r="AT74" s="25">
        <f t="shared" si="36"/>
        <v>21700</v>
      </c>
      <c r="AU74" s="25">
        <f t="shared" si="36"/>
        <v>21000</v>
      </c>
      <c r="AV74" s="25">
        <f t="shared" si="36"/>
        <v>21700</v>
      </c>
      <c r="AW74" s="25">
        <f t="shared" si="36"/>
        <v>20300</v>
      </c>
      <c r="AX74" s="25">
        <f t="shared" si="36"/>
        <v>21700</v>
      </c>
      <c r="AY74" s="25">
        <f t="shared" si="36"/>
        <v>13300</v>
      </c>
      <c r="AZ74" s="25">
        <f t="shared" si="36"/>
        <v>18900</v>
      </c>
      <c r="BA74" s="25">
        <f t="shared" si="36"/>
        <v>21700</v>
      </c>
    </row>
    <row r="76" spans="1:53" ht="14" x14ac:dyDescent="0.3">
      <c r="A76" s="41" t="s">
        <v>18</v>
      </c>
      <c r="C76" s="35">
        <f t="shared" ref="C76:AH76" si="37">C69+C46+C74</f>
        <v>0</v>
      </c>
      <c r="D76" s="35">
        <f t="shared" si="37"/>
        <v>0</v>
      </c>
      <c r="E76" s="35">
        <f t="shared" si="37"/>
        <v>333310</v>
      </c>
      <c r="F76" s="35">
        <f t="shared" si="37"/>
        <v>1419688.33</v>
      </c>
      <c r="G76" s="35">
        <f t="shared" si="37"/>
        <v>1517597.87</v>
      </c>
      <c r="H76" s="35">
        <f t="shared" si="37"/>
        <v>1568495.25</v>
      </c>
      <c r="I76" s="35">
        <f t="shared" si="37"/>
        <v>1709345.425</v>
      </c>
      <c r="J76" s="35">
        <f t="shared" si="37"/>
        <v>1709345.425</v>
      </c>
      <c r="K76" s="35">
        <f t="shared" si="37"/>
        <v>1468643.1</v>
      </c>
      <c r="L76" s="35">
        <f t="shared" si="37"/>
        <v>1517597.87</v>
      </c>
      <c r="M76" s="35">
        <f t="shared" si="37"/>
        <v>1419688.33</v>
      </c>
      <c r="N76" s="35">
        <f t="shared" si="37"/>
        <v>1550013.3919999998</v>
      </c>
      <c r="O76" s="35">
        <f t="shared" si="37"/>
        <v>930140.63</v>
      </c>
      <c r="P76" s="35">
        <f t="shared" si="37"/>
        <v>1321778.79</v>
      </c>
      <c r="Q76" s="35">
        <f t="shared" si="37"/>
        <v>1517597.87</v>
      </c>
      <c r="R76" s="35">
        <f t="shared" si="37"/>
        <v>1504822.4700000002</v>
      </c>
      <c r="S76" s="35">
        <f t="shared" si="37"/>
        <v>1608603.33</v>
      </c>
      <c r="T76" s="35">
        <f t="shared" si="37"/>
        <v>1667278.8</v>
      </c>
      <c r="U76" s="35">
        <f t="shared" si="37"/>
        <v>1829135.1600000001</v>
      </c>
      <c r="V76" s="35">
        <f t="shared" si="37"/>
        <v>1829135.1600000001</v>
      </c>
      <c r="W76" s="35">
        <f t="shared" si="37"/>
        <v>1556712.9</v>
      </c>
      <c r="X76" s="35">
        <f t="shared" si="37"/>
        <v>1608603.33</v>
      </c>
      <c r="Y76" s="35">
        <f t="shared" si="37"/>
        <v>1504822.4700000002</v>
      </c>
      <c r="Z76" s="35">
        <f t="shared" si="37"/>
        <v>1637830.44</v>
      </c>
      <c r="AA76" s="35">
        <f t="shared" si="37"/>
        <v>934027.74000000011</v>
      </c>
      <c r="AB76" s="35">
        <f t="shared" si="37"/>
        <v>1452932.04</v>
      </c>
      <c r="AC76" s="35">
        <f t="shared" si="37"/>
        <v>1608603.33</v>
      </c>
      <c r="AD76" s="35">
        <f t="shared" si="37"/>
        <v>1615431.66</v>
      </c>
      <c r="AE76" s="35">
        <f t="shared" si="37"/>
        <v>1726840.74</v>
      </c>
      <c r="AF76" s="35">
        <f t="shared" si="37"/>
        <v>1757703.3</v>
      </c>
      <c r="AG76" s="35">
        <f t="shared" si="37"/>
        <v>1922573.81</v>
      </c>
      <c r="AH76" s="35">
        <f t="shared" si="37"/>
        <v>1922573.81</v>
      </c>
      <c r="AI76" s="35">
        <f t="shared" ref="AI76:BA76" si="38">AI69+AI46+AI74</f>
        <v>1640709.15</v>
      </c>
      <c r="AJ76" s="35">
        <f t="shared" si="38"/>
        <v>1695399.4550000001</v>
      </c>
      <c r="AK76" s="35">
        <f t="shared" si="38"/>
        <v>1586018.8450000002</v>
      </c>
      <c r="AL76" s="35">
        <f t="shared" si="38"/>
        <v>1726840.74</v>
      </c>
      <c r="AM76" s="35">
        <f t="shared" si="38"/>
        <v>1039115.7949999999</v>
      </c>
      <c r="AN76" s="35">
        <f t="shared" si="38"/>
        <v>1476638.2350000001</v>
      </c>
      <c r="AO76" s="35">
        <f t="shared" si="38"/>
        <v>1695399.4550000001</v>
      </c>
      <c r="AP76" s="35">
        <f t="shared" si="38"/>
        <v>1701394.4749999999</v>
      </c>
      <c r="AQ76" s="35">
        <f t="shared" si="38"/>
        <v>1787290.74</v>
      </c>
      <c r="AR76" s="35">
        <f t="shared" si="38"/>
        <v>1816203.3</v>
      </c>
      <c r="AS76" s="35">
        <f t="shared" si="38"/>
        <v>1983023.81</v>
      </c>
      <c r="AT76" s="35">
        <f t="shared" si="38"/>
        <v>1983023.81</v>
      </c>
      <c r="AU76" s="35">
        <f t="shared" si="38"/>
        <v>1705637.4</v>
      </c>
      <c r="AV76" s="35">
        <f t="shared" si="38"/>
        <v>1762491.98</v>
      </c>
      <c r="AW76" s="35">
        <f t="shared" si="38"/>
        <v>1642568.8450000002</v>
      </c>
      <c r="AX76" s="35">
        <f t="shared" si="38"/>
        <v>1787290.74</v>
      </c>
      <c r="AY76" s="35">
        <f t="shared" si="38"/>
        <v>1076165.7950000002</v>
      </c>
      <c r="AZ76" s="35">
        <f t="shared" si="38"/>
        <v>1529288.2350000001</v>
      </c>
      <c r="BA76" s="35">
        <f t="shared" si="38"/>
        <v>1755849.4550000001</v>
      </c>
    </row>
    <row r="78" spans="1:53" ht="15.5" x14ac:dyDescent="0.35">
      <c r="A78" s="26" t="s">
        <v>19</v>
      </c>
    </row>
    <row r="79" spans="1:53" ht="15.5" x14ac:dyDescent="0.35">
      <c r="A79" s="26"/>
    </row>
    <row r="80" spans="1:53" ht="15.5" x14ac:dyDescent="0.35">
      <c r="A80" s="42" t="s">
        <v>20</v>
      </c>
    </row>
    <row r="81" spans="1:53" x14ac:dyDescent="0.25">
      <c r="B81" s="1" t="s">
        <v>21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5">
        <v>0</v>
      </c>
      <c r="AT81" s="25">
        <v>0</v>
      </c>
      <c r="AU81" s="25">
        <v>0</v>
      </c>
      <c r="AV81" s="25">
        <v>0</v>
      </c>
      <c r="AW81" s="25">
        <v>0</v>
      </c>
      <c r="AX81" s="25">
        <v>0</v>
      </c>
      <c r="AY81" s="25">
        <v>0</v>
      </c>
      <c r="AZ81" s="25">
        <v>0</v>
      </c>
      <c r="BA81" s="25">
        <v>0</v>
      </c>
    </row>
    <row r="82" spans="1:53" hidden="1" x14ac:dyDescent="0.25">
      <c r="B82" s="1" t="s">
        <v>16</v>
      </c>
    </row>
    <row r="83" spans="1:53" hidden="1" x14ac:dyDescent="0.25">
      <c r="B83" s="1" t="s">
        <v>22</v>
      </c>
    </row>
    <row r="84" spans="1:53" ht="14" x14ac:dyDescent="0.3">
      <c r="B84" s="43" t="s">
        <v>3</v>
      </c>
      <c r="C84" s="35">
        <f t="shared" ref="C84:AH84" si="39">SUM(C81:C83)</f>
        <v>0</v>
      </c>
      <c r="D84" s="35">
        <f t="shared" si="39"/>
        <v>0</v>
      </c>
      <c r="E84" s="35">
        <f t="shared" si="39"/>
        <v>0</v>
      </c>
      <c r="F84" s="35">
        <f t="shared" si="39"/>
        <v>0</v>
      </c>
      <c r="G84" s="35">
        <f t="shared" si="39"/>
        <v>0</v>
      </c>
      <c r="H84" s="35">
        <f t="shared" si="39"/>
        <v>0</v>
      </c>
      <c r="I84" s="35">
        <f t="shared" si="39"/>
        <v>0</v>
      </c>
      <c r="J84" s="35">
        <f t="shared" si="39"/>
        <v>0</v>
      </c>
      <c r="K84" s="35">
        <f t="shared" si="39"/>
        <v>0</v>
      </c>
      <c r="L84" s="35">
        <f t="shared" si="39"/>
        <v>0</v>
      </c>
      <c r="M84" s="35">
        <f t="shared" si="39"/>
        <v>0</v>
      </c>
      <c r="N84" s="35">
        <f t="shared" si="39"/>
        <v>0</v>
      </c>
      <c r="O84" s="35">
        <f t="shared" si="39"/>
        <v>0</v>
      </c>
      <c r="P84" s="35">
        <f t="shared" si="39"/>
        <v>0</v>
      </c>
      <c r="Q84" s="35">
        <f t="shared" si="39"/>
        <v>0</v>
      </c>
      <c r="R84" s="35">
        <f t="shared" si="39"/>
        <v>0</v>
      </c>
      <c r="S84" s="35">
        <f t="shared" si="39"/>
        <v>0</v>
      </c>
      <c r="T84" s="35">
        <f t="shared" si="39"/>
        <v>0</v>
      </c>
      <c r="U84" s="35">
        <f t="shared" si="39"/>
        <v>0</v>
      </c>
      <c r="V84" s="35">
        <f t="shared" si="39"/>
        <v>0</v>
      </c>
      <c r="W84" s="35">
        <f t="shared" si="39"/>
        <v>0</v>
      </c>
      <c r="X84" s="35">
        <f t="shared" si="39"/>
        <v>0</v>
      </c>
      <c r="Y84" s="35">
        <f t="shared" si="39"/>
        <v>0</v>
      </c>
      <c r="Z84" s="35">
        <f t="shared" si="39"/>
        <v>0</v>
      </c>
      <c r="AA84" s="35">
        <f t="shared" si="39"/>
        <v>0</v>
      </c>
      <c r="AB84" s="35">
        <f t="shared" si="39"/>
        <v>0</v>
      </c>
      <c r="AC84" s="35">
        <f t="shared" si="39"/>
        <v>0</v>
      </c>
      <c r="AD84" s="35">
        <f t="shared" si="39"/>
        <v>0</v>
      </c>
      <c r="AE84" s="35">
        <f t="shared" si="39"/>
        <v>0</v>
      </c>
      <c r="AF84" s="35">
        <f t="shared" si="39"/>
        <v>0</v>
      </c>
      <c r="AG84" s="35">
        <f t="shared" si="39"/>
        <v>0</v>
      </c>
      <c r="AH84" s="35">
        <f t="shared" si="39"/>
        <v>0</v>
      </c>
      <c r="AI84" s="35">
        <f t="shared" ref="AI84:BA84" si="40">SUM(AI81:AI83)</f>
        <v>0</v>
      </c>
      <c r="AJ84" s="35">
        <f t="shared" si="40"/>
        <v>0</v>
      </c>
      <c r="AK84" s="35">
        <f t="shared" si="40"/>
        <v>0</v>
      </c>
      <c r="AL84" s="35">
        <f t="shared" si="40"/>
        <v>0</v>
      </c>
      <c r="AM84" s="35">
        <f t="shared" si="40"/>
        <v>0</v>
      </c>
      <c r="AN84" s="35">
        <f t="shared" si="40"/>
        <v>0</v>
      </c>
      <c r="AO84" s="35">
        <f t="shared" si="40"/>
        <v>0</v>
      </c>
      <c r="AP84" s="35">
        <f t="shared" si="40"/>
        <v>0</v>
      </c>
      <c r="AQ84" s="35">
        <f t="shared" si="40"/>
        <v>0</v>
      </c>
      <c r="AR84" s="35">
        <f t="shared" si="40"/>
        <v>0</v>
      </c>
      <c r="AS84" s="35">
        <f t="shared" si="40"/>
        <v>0</v>
      </c>
      <c r="AT84" s="35">
        <f t="shared" si="40"/>
        <v>0</v>
      </c>
      <c r="AU84" s="35">
        <f t="shared" si="40"/>
        <v>0</v>
      </c>
      <c r="AV84" s="35">
        <f t="shared" si="40"/>
        <v>0</v>
      </c>
      <c r="AW84" s="35">
        <f t="shared" si="40"/>
        <v>0</v>
      </c>
      <c r="AX84" s="35">
        <f t="shared" si="40"/>
        <v>0</v>
      </c>
      <c r="AY84" s="35">
        <f t="shared" si="40"/>
        <v>0</v>
      </c>
      <c r="AZ84" s="35">
        <f t="shared" si="40"/>
        <v>0</v>
      </c>
      <c r="BA84" s="35">
        <f t="shared" si="40"/>
        <v>0</v>
      </c>
    </row>
    <row r="86" spans="1:53" ht="15.5" x14ac:dyDescent="0.35">
      <c r="A86" s="42" t="s">
        <v>23</v>
      </c>
    </row>
    <row r="87" spans="1:53" ht="15.5" x14ac:dyDescent="0.35">
      <c r="A87" s="42"/>
      <c r="B87" s="1" t="s">
        <v>105</v>
      </c>
      <c r="C87" s="44">
        <f>'P_L Variables'!L285</f>
        <v>0</v>
      </c>
      <c r="D87" s="44">
        <f>'P_L Variables'!M285</f>
        <v>0</v>
      </c>
      <c r="E87" s="44">
        <f>'P_L Variables'!N285</f>
        <v>0</v>
      </c>
      <c r="F87" s="44">
        <f>'P_L Variables'!C286</f>
        <v>0.4</v>
      </c>
      <c r="G87" s="44">
        <f>'P_L Variables'!D286</f>
        <v>0.4</v>
      </c>
      <c r="H87" s="44">
        <f>'P_L Variables'!E286</f>
        <v>0.4</v>
      </c>
      <c r="I87" s="44">
        <f>'P_L Variables'!F286</f>
        <v>0.4</v>
      </c>
      <c r="J87" s="44">
        <f>'P_L Variables'!G286</f>
        <v>0.4</v>
      </c>
      <c r="K87" s="44">
        <f>'P_L Variables'!H286</f>
        <v>0.4</v>
      </c>
      <c r="L87" s="44">
        <f>'P_L Variables'!I286</f>
        <v>0.4</v>
      </c>
      <c r="M87" s="44">
        <f>'P_L Variables'!J286</f>
        <v>0.4</v>
      </c>
      <c r="N87" s="44">
        <f>'P_L Variables'!K286</f>
        <v>0.4</v>
      </c>
      <c r="O87" s="44">
        <f>'P_L Variables'!L286</f>
        <v>0.4</v>
      </c>
      <c r="P87" s="44">
        <f>'P_L Variables'!M286</f>
        <v>0.4</v>
      </c>
      <c r="Q87" s="44">
        <f>'P_L Variables'!N286</f>
        <v>0.4</v>
      </c>
      <c r="R87" s="44">
        <f>'P_L Variables'!C287</f>
        <v>0.4</v>
      </c>
      <c r="S87" s="44">
        <f>'P_L Variables'!D287</f>
        <v>0.4</v>
      </c>
      <c r="T87" s="44">
        <f>'P_L Variables'!E287</f>
        <v>0.4</v>
      </c>
      <c r="U87" s="44">
        <f>'P_L Variables'!F287</f>
        <v>0.4</v>
      </c>
      <c r="V87" s="44">
        <f>'P_L Variables'!G287</f>
        <v>0.4</v>
      </c>
      <c r="W87" s="44">
        <f>'P_L Variables'!H287</f>
        <v>0.4</v>
      </c>
      <c r="X87" s="44">
        <f>'P_L Variables'!I287</f>
        <v>0.4</v>
      </c>
      <c r="Y87" s="44">
        <f>'P_L Variables'!J287</f>
        <v>0.4</v>
      </c>
      <c r="Z87" s="44">
        <f>'P_L Variables'!K287</f>
        <v>0.4</v>
      </c>
      <c r="AA87" s="44">
        <f>'P_L Variables'!L287</f>
        <v>0.4</v>
      </c>
      <c r="AB87" s="44">
        <f>'P_L Variables'!M287</f>
        <v>0.4</v>
      </c>
      <c r="AC87" s="44">
        <f>'P_L Variables'!N287</f>
        <v>0.4</v>
      </c>
      <c r="AD87" s="44">
        <f>'P_L Variables'!C288</f>
        <v>0.4</v>
      </c>
      <c r="AE87" s="44">
        <f>'P_L Variables'!D288</f>
        <v>0.4</v>
      </c>
      <c r="AF87" s="44">
        <f>'P_L Variables'!E288</f>
        <v>0.4</v>
      </c>
      <c r="AG87" s="44">
        <f>'P_L Variables'!F288</f>
        <v>0.4</v>
      </c>
      <c r="AH87" s="44">
        <f>'P_L Variables'!G288</f>
        <v>0.4</v>
      </c>
      <c r="AI87" s="44">
        <f>'P_L Variables'!H288</f>
        <v>0.4</v>
      </c>
      <c r="AJ87" s="44">
        <f>'P_L Variables'!I288</f>
        <v>0.4</v>
      </c>
      <c r="AK87" s="44">
        <f>'P_L Variables'!J288</f>
        <v>0.4</v>
      </c>
      <c r="AL87" s="44">
        <f>'P_L Variables'!K288</f>
        <v>0.4</v>
      </c>
      <c r="AM87" s="44">
        <f>'P_L Variables'!L288</f>
        <v>0.4</v>
      </c>
      <c r="AN87" s="44">
        <f>'P_L Variables'!M288</f>
        <v>0.4</v>
      </c>
      <c r="AO87" s="44">
        <f>'P_L Variables'!N288</f>
        <v>0.4</v>
      </c>
      <c r="AP87" s="44">
        <f>'P_L Variables'!C289</f>
        <v>0.4</v>
      </c>
      <c r="AQ87" s="44">
        <f>'P_L Variables'!D289</f>
        <v>0.4</v>
      </c>
      <c r="AR87" s="44">
        <f>'P_L Variables'!E289</f>
        <v>0.4</v>
      </c>
      <c r="AS87" s="44">
        <f>'P_L Variables'!F289</f>
        <v>0.4</v>
      </c>
      <c r="AT87" s="44">
        <f>'P_L Variables'!G289</f>
        <v>0.4</v>
      </c>
      <c r="AU87" s="44">
        <f>'P_L Variables'!H289</f>
        <v>0.4</v>
      </c>
      <c r="AV87" s="44">
        <f>'P_L Variables'!I289</f>
        <v>0.4</v>
      </c>
      <c r="AW87" s="44">
        <f>'P_L Variables'!J289</f>
        <v>0.4</v>
      </c>
      <c r="AX87" s="44">
        <f>'P_L Variables'!K289</f>
        <v>0.4</v>
      </c>
      <c r="AY87" s="44">
        <f>'P_L Variables'!L289</f>
        <v>0.4</v>
      </c>
      <c r="AZ87" s="44">
        <f>'P_L Variables'!M289</f>
        <v>0.4</v>
      </c>
      <c r="BA87" s="44">
        <f>'P_L Variables'!N289</f>
        <v>0.4</v>
      </c>
    </row>
    <row r="88" spans="1:53" ht="15.5" x14ac:dyDescent="0.35">
      <c r="A88" s="42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</row>
    <row r="89" spans="1:53" ht="15.5" x14ac:dyDescent="0.35">
      <c r="A89" s="42"/>
      <c r="B89" s="1" t="s">
        <v>106</v>
      </c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</row>
    <row r="90" spans="1:53" ht="15.75" customHeight="1" x14ac:dyDescent="0.25">
      <c r="B90" s="1" t="s">
        <v>107</v>
      </c>
      <c r="C90" s="45">
        <f>C87*C69</f>
        <v>0</v>
      </c>
      <c r="D90" s="45">
        <f>D87*D69</f>
        <v>0</v>
      </c>
      <c r="E90" s="45">
        <f>E87*E69</f>
        <v>0</v>
      </c>
      <c r="F90" s="45">
        <f>'P_L Standard'!$C$29/350*'P_L Workings'!F37</f>
        <v>20714.285714285717</v>
      </c>
      <c r="G90" s="45">
        <f>'P_L Standard'!$C$29/350*'P_L Workings'!G37</f>
        <v>22142.857142857145</v>
      </c>
      <c r="H90" s="45">
        <f>'P_L Standard'!$C$29/350*'P_L Workings'!H37</f>
        <v>21428.571428571431</v>
      </c>
      <c r="I90" s="45">
        <f>'P_L Standard'!$C$29/350*'P_L Workings'!I37</f>
        <v>22142.857142857145</v>
      </c>
      <c r="J90" s="45">
        <f>'P_L Standard'!$C$29/350*'P_L Workings'!J37</f>
        <v>22142.857142857145</v>
      </c>
      <c r="K90" s="45">
        <f>'P_L Standard'!$C$29/350*'P_L Workings'!K37</f>
        <v>21428.571428571431</v>
      </c>
      <c r="L90" s="45">
        <f>'P_L Standard'!$C$29/350*'P_L Workings'!L37</f>
        <v>22142.857142857145</v>
      </c>
      <c r="M90" s="45">
        <f>'P_L Standard'!$C$29/350*'P_L Workings'!M37</f>
        <v>20714.285714285717</v>
      </c>
      <c r="N90" s="45">
        <f>'P_L Standard'!$C$29/350*'P_L Workings'!N37</f>
        <v>22142.857142857145</v>
      </c>
      <c r="O90" s="45">
        <f>'P_L Standard'!$C$29/350*'P_L Workings'!O37</f>
        <v>13571.428571428572</v>
      </c>
      <c r="P90" s="45">
        <f>'P_L Standard'!$C$29/350*'P_L Workings'!P37</f>
        <v>19285.714285714286</v>
      </c>
      <c r="Q90" s="45">
        <f>'P_L Standard'!$C$29/350*'P_L Workings'!Q37</f>
        <v>22142.857142857145</v>
      </c>
      <c r="R90" s="45">
        <f>'P_L Standard'!$C$29/350*'P_L Workings'!R37</f>
        <v>20714.285714285717</v>
      </c>
      <c r="S90" s="45">
        <f>'P_L Standard'!$C$29/350*'P_L Workings'!S37</f>
        <v>22142.857142857145</v>
      </c>
      <c r="T90" s="45">
        <f>'P_L Standard'!$C$29/350*'P_L Workings'!T37</f>
        <v>21428.571428571431</v>
      </c>
      <c r="U90" s="45">
        <f>'P_L Standard'!$C$29/350*'P_L Workings'!U37</f>
        <v>22142.857142857145</v>
      </c>
      <c r="V90" s="45">
        <f>'P_L Standard'!$C$29/350*'P_L Workings'!V37</f>
        <v>22142.857142857145</v>
      </c>
      <c r="W90" s="45">
        <f>'P_L Standard'!$C$29/350*'P_L Workings'!W37</f>
        <v>21428.571428571431</v>
      </c>
      <c r="X90" s="45">
        <f>'P_L Standard'!$C$29/350*'P_L Workings'!X37</f>
        <v>22142.857142857145</v>
      </c>
      <c r="Y90" s="45">
        <f>'P_L Standard'!$C$29/350*'P_L Workings'!Y37</f>
        <v>20714.285714285717</v>
      </c>
      <c r="Z90" s="45">
        <f>'P_L Standard'!$C$29/350*'P_L Workings'!Z37</f>
        <v>22142.857142857145</v>
      </c>
      <c r="AA90" s="45">
        <f>'P_L Standard'!$C$29/350*'P_L Workings'!AA37</f>
        <v>12857.142857142859</v>
      </c>
      <c r="AB90" s="45">
        <f>'P_L Standard'!$C$29/350*'P_L Workings'!AB37</f>
        <v>20000</v>
      </c>
      <c r="AC90" s="45">
        <f>'P_L Standard'!$C$29/350*'P_L Workings'!AC37</f>
        <v>22142.857142857145</v>
      </c>
      <c r="AD90" s="45">
        <f>'P_L Standard'!$C$29/350*'P_L Workings'!AD37</f>
        <v>20714.285714285717</v>
      </c>
      <c r="AE90" s="45">
        <f>'P_L Standard'!$C$29/350*'P_L Workings'!AE37</f>
        <v>22142.857142857145</v>
      </c>
      <c r="AF90" s="45">
        <f>'P_L Standard'!$C$29/350*'P_L Workings'!AF37</f>
        <v>21428.571428571431</v>
      </c>
      <c r="AG90" s="45">
        <f>'P_L Standard'!$C$29/350*'P_L Workings'!AG37</f>
        <v>22142.857142857145</v>
      </c>
      <c r="AH90" s="45">
        <f>'P_L Standard'!$C$29/350*'P_L Workings'!AH37</f>
        <v>22142.857142857145</v>
      </c>
      <c r="AI90" s="45">
        <f>'P_L Standard'!$C$29/350*'P_L Workings'!AI37</f>
        <v>21428.571428571431</v>
      </c>
      <c r="AJ90" s="45">
        <f>'P_L Standard'!$C$29/350*'P_L Workings'!AJ37</f>
        <v>22142.857142857145</v>
      </c>
      <c r="AK90" s="45">
        <f>'P_L Standard'!$C$29/350*'P_L Workings'!AK37</f>
        <v>20714.285714285717</v>
      </c>
      <c r="AL90" s="45">
        <f>'P_L Standard'!$C$29/350*'P_L Workings'!AL37</f>
        <v>22142.857142857145</v>
      </c>
      <c r="AM90" s="45">
        <f>'P_L Standard'!$C$29/350*'P_L Workings'!AM37</f>
        <v>13571.428571428572</v>
      </c>
      <c r="AN90" s="45">
        <f>'P_L Standard'!$C$29/350*'P_L Workings'!AN37</f>
        <v>19285.714285714286</v>
      </c>
      <c r="AO90" s="45">
        <f>'P_L Standard'!$C$29/350*'P_L Workings'!AO37</f>
        <v>22142.857142857145</v>
      </c>
      <c r="AP90" s="45">
        <f>'P_L Standard'!$C$29/350*'P_L Workings'!AP37</f>
        <v>20714.285714285717</v>
      </c>
      <c r="AQ90" s="45">
        <f>'P_L Standard'!$C$29/350*'P_L Workings'!AQ37</f>
        <v>22142.857142857145</v>
      </c>
      <c r="AR90" s="45">
        <f>'P_L Standard'!$C$29/350*'P_L Workings'!AR37</f>
        <v>21428.571428571431</v>
      </c>
      <c r="AS90" s="45">
        <f>'P_L Standard'!$C$29/350*'P_L Workings'!AS37</f>
        <v>22142.857142857145</v>
      </c>
      <c r="AT90" s="45">
        <f>'P_L Standard'!$C$29/350*'P_L Workings'!AT37</f>
        <v>22142.857142857145</v>
      </c>
      <c r="AU90" s="45">
        <f>'P_L Standard'!$C$29/350*'P_L Workings'!AU37</f>
        <v>21428.571428571431</v>
      </c>
      <c r="AV90" s="45">
        <f>'P_L Standard'!$C$29/350*'P_L Workings'!AV37</f>
        <v>22142.857142857145</v>
      </c>
      <c r="AW90" s="45">
        <f>'P_L Standard'!$C$29/350*'P_L Workings'!AW37</f>
        <v>20714.285714285717</v>
      </c>
      <c r="AX90" s="45">
        <f>'P_L Standard'!$C$29/350*'P_L Workings'!AX37</f>
        <v>22142.857142857145</v>
      </c>
      <c r="AY90" s="45">
        <f>'P_L Standard'!$C$29/350*'P_L Workings'!AY37</f>
        <v>13571.428571428572</v>
      </c>
      <c r="AZ90" s="45">
        <f>'P_L Standard'!$C$29/350*'P_L Workings'!AZ37</f>
        <v>19285.714285714286</v>
      </c>
      <c r="BA90" s="45">
        <f>'P_L Standard'!$C$29/350*'P_L Workings'!BA37</f>
        <v>22142.857142857145</v>
      </c>
    </row>
    <row r="91" spans="1:53" ht="14" x14ac:dyDescent="0.3">
      <c r="B91" s="43" t="s">
        <v>3</v>
      </c>
      <c r="C91" s="35">
        <f>C90</f>
        <v>0</v>
      </c>
      <c r="D91" s="35">
        <f>D90</f>
        <v>0</v>
      </c>
      <c r="E91" s="35">
        <f>F91/2</f>
        <v>10357.142857142859</v>
      </c>
      <c r="F91" s="35">
        <f t="shared" ref="F91:BA91" si="41">F90</f>
        <v>20714.285714285717</v>
      </c>
      <c r="G91" s="35">
        <f t="shared" si="41"/>
        <v>22142.857142857145</v>
      </c>
      <c r="H91" s="35">
        <f t="shared" si="41"/>
        <v>21428.571428571431</v>
      </c>
      <c r="I91" s="35">
        <f t="shared" si="41"/>
        <v>22142.857142857145</v>
      </c>
      <c r="J91" s="35">
        <f t="shared" si="41"/>
        <v>22142.857142857145</v>
      </c>
      <c r="K91" s="35">
        <f t="shared" si="41"/>
        <v>21428.571428571431</v>
      </c>
      <c r="L91" s="35">
        <f t="shared" si="41"/>
        <v>22142.857142857145</v>
      </c>
      <c r="M91" s="35">
        <f t="shared" si="41"/>
        <v>20714.285714285717</v>
      </c>
      <c r="N91" s="35">
        <f t="shared" si="41"/>
        <v>22142.857142857145</v>
      </c>
      <c r="O91" s="35">
        <f t="shared" si="41"/>
        <v>13571.428571428572</v>
      </c>
      <c r="P91" s="35">
        <f t="shared" si="41"/>
        <v>19285.714285714286</v>
      </c>
      <c r="Q91" s="35">
        <f t="shared" si="41"/>
        <v>22142.857142857145</v>
      </c>
      <c r="R91" s="35">
        <f t="shared" si="41"/>
        <v>20714.285714285717</v>
      </c>
      <c r="S91" s="35">
        <f t="shared" si="41"/>
        <v>22142.857142857145</v>
      </c>
      <c r="T91" s="35">
        <f t="shared" si="41"/>
        <v>21428.571428571431</v>
      </c>
      <c r="U91" s="35">
        <f t="shared" si="41"/>
        <v>22142.857142857145</v>
      </c>
      <c r="V91" s="35">
        <f t="shared" si="41"/>
        <v>22142.857142857145</v>
      </c>
      <c r="W91" s="35">
        <f t="shared" si="41"/>
        <v>21428.571428571431</v>
      </c>
      <c r="X91" s="35">
        <f t="shared" si="41"/>
        <v>22142.857142857145</v>
      </c>
      <c r="Y91" s="35">
        <f t="shared" si="41"/>
        <v>20714.285714285717</v>
      </c>
      <c r="Z91" s="35">
        <f t="shared" si="41"/>
        <v>22142.857142857145</v>
      </c>
      <c r="AA91" s="35">
        <f t="shared" si="41"/>
        <v>12857.142857142859</v>
      </c>
      <c r="AB91" s="35">
        <f t="shared" si="41"/>
        <v>20000</v>
      </c>
      <c r="AC91" s="35">
        <f t="shared" si="41"/>
        <v>22142.857142857145</v>
      </c>
      <c r="AD91" s="35">
        <f t="shared" si="41"/>
        <v>20714.285714285717</v>
      </c>
      <c r="AE91" s="35">
        <f t="shared" si="41"/>
        <v>22142.857142857145</v>
      </c>
      <c r="AF91" s="35">
        <f t="shared" si="41"/>
        <v>21428.571428571431</v>
      </c>
      <c r="AG91" s="35">
        <f t="shared" si="41"/>
        <v>22142.857142857145</v>
      </c>
      <c r="AH91" s="35">
        <f t="shared" si="41"/>
        <v>22142.857142857145</v>
      </c>
      <c r="AI91" s="35">
        <f t="shared" si="41"/>
        <v>21428.571428571431</v>
      </c>
      <c r="AJ91" s="35">
        <f t="shared" si="41"/>
        <v>22142.857142857145</v>
      </c>
      <c r="AK91" s="35">
        <f t="shared" si="41"/>
        <v>20714.285714285717</v>
      </c>
      <c r="AL91" s="35">
        <f t="shared" si="41"/>
        <v>22142.857142857145</v>
      </c>
      <c r="AM91" s="35">
        <f t="shared" si="41"/>
        <v>13571.428571428572</v>
      </c>
      <c r="AN91" s="35">
        <f t="shared" si="41"/>
        <v>19285.714285714286</v>
      </c>
      <c r="AO91" s="35">
        <f t="shared" si="41"/>
        <v>22142.857142857145</v>
      </c>
      <c r="AP91" s="35">
        <f t="shared" si="41"/>
        <v>20714.285714285717</v>
      </c>
      <c r="AQ91" s="35">
        <f t="shared" si="41"/>
        <v>22142.857142857145</v>
      </c>
      <c r="AR91" s="35">
        <f t="shared" si="41"/>
        <v>21428.571428571431</v>
      </c>
      <c r="AS91" s="35">
        <f t="shared" si="41"/>
        <v>22142.857142857145</v>
      </c>
      <c r="AT91" s="35">
        <f t="shared" si="41"/>
        <v>22142.857142857145</v>
      </c>
      <c r="AU91" s="35">
        <f t="shared" si="41"/>
        <v>21428.571428571431</v>
      </c>
      <c r="AV91" s="35">
        <f t="shared" si="41"/>
        <v>22142.857142857145</v>
      </c>
      <c r="AW91" s="35">
        <f t="shared" si="41"/>
        <v>20714.285714285717</v>
      </c>
      <c r="AX91" s="35">
        <f t="shared" si="41"/>
        <v>22142.857142857145</v>
      </c>
      <c r="AY91" s="35">
        <f t="shared" si="41"/>
        <v>13571.428571428572</v>
      </c>
      <c r="AZ91" s="35">
        <f t="shared" si="41"/>
        <v>19285.714285714286</v>
      </c>
      <c r="BA91" s="35">
        <f t="shared" si="41"/>
        <v>22142.857142857145</v>
      </c>
    </row>
    <row r="93" spans="1:53" ht="15.5" x14ac:dyDescent="0.35">
      <c r="A93" s="42" t="s">
        <v>24</v>
      </c>
    </row>
    <row r="94" spans="1:53" ht="13" x14ac:dyDescent="0.3">
      <c r="B94" s="1" t="s">
        <v>25</v>
      </c>
      <c r="C94" s="46"/>
      <c r="D94" s="46"/>
      <c r="E94" s="46">
        <f>'P_L Standard'!$C$33/52</f>
        <v>110302.19230769231</v>
      </c>
      <c r="F94" s="46">
        <f>'P_L Standard'!$C$33/12</f>
        <v>477976.16666666669</v>
      </c>
      <c r="G94" s="46">
        <f>'P_L Standard'!$C$33/12</f>
        <v>477976.16666666669</v>
      </c>
      <c r="H94" s="46">
        <f>'P_L Standard'!$C$33/12</f>
        <v>477976.16666666669</v>
      </c>
      <c r="I94" s="46">
        <f>'P_L Standard'!$C$33/12</f>
        <v>477976.16666666669</v>
      </c>
      <c r="J94" s="46">
        <f>'P_L Standard'!$C$33/12</f>
        <v>477976.16666666669</v>
      </c>
      <c r="K94" s="46">
        <f>'P_L Standard'!$C$33/12</f>
        <v>477976.16666666669</v>
      </c>
      <c r="L94" s="46">
        <f>'P_L Standard'!$C$33/12</f>
        <v>477976.16666666669</v>
      </c>
      <c r="M94" s="46">
        <f>'P_L Standard'!$C$33/12</f>
        <v>477976.16666666669</v>
      </c>
      <c r="N94" s="46">
        <f>'P_L Standard'!$C$33/12</f>
        <v>477976.16666666669</v>
      </c>
      <c r="O94" s="46">
        <f>'P_L Standard'!$C$33/12</f>
        <v>477976.16666666669</v>
      </c>
      <c r="P94" s="46">
        <f>'P_L Standard'!$C$33/12</f>
        <v>477976.16666666669</v>
      </c>
      <c r="Q94" s="46">
        <f>'P_L Standard'!$C$33/12</f>
        <v>477976.16666666669</v>
      </c>
      <c r="R94" s="46">
        <f>'P_L Standard'!$C$33/12</f>
        <v>477976.16666666669</v>
      </c>
      <c r="S94" s="46">
        <f>'P_L Standard'!$C$33/12</f>
        <v>477976.16666666669</v>
      </c>
      <c r="T94" s="46">
        <f>'P_L Standard'!$C$33/12</f>
        <v>477976.16666666669</v>
      </c>
      <c r="U94" s="46">
        <f>'P_L Standard'!$C$33/12</f>
        <v>477976.16666666669</v>
      </c>
      <c r="V94" s="46">
        <f>'P_L Standard'!$C$33/12</f>
        <v>477976.16666666669</v>
      </c>
      <c r="W94" s="46">
        <f>'P_L Standard'!$C$33/12</f>
        <v>477976.16666666669</v>
      </c>
      <c r="X94" s="46">
        <f>'P_L Standard'!$C$33/12</f>
        <v>477976.16666666669</v>
      </c>
      <c r="Y94" s="46">
        <f>'P_L Standard'!$C$33/12</f>
        <v>477976.16666666669</v>
      </c>
      <c r="Z94" s="46">
        <f>'P_L Standard'!$C$33/12</f>
        <v>477976.16666666669</v>
      </c>
      <c r="AA94" s="46">
        <f>'P_L Standard'!$C$33/12</f>
        <v>477976.16666666669</v>
      </c>
      <c r="AB94" s="46">
        <f>'P_L Standard'!$C$33/12</f>
        <v>477976.16666666669</v>
      </c>
      <c r="AC94" s="46">
        <f>'P_L Standard'!$C$33/12</f>
        <v>477976.16666666669</v>
      </c>
      <c r="AD94" s="46">
        <f>'P_L Standard'!$C$33/12</f>
        <v>477976.16666666669</v>
      </c>
      <c r="AE94" s="46">
        <f>'P_L Standard'!$C$33/12</f>
        <v>477976.16666666669</v>
      </c>
      <c r="AF94" s="46">
        <f>'P_L Standard'!$C$33/12</f>
        <v>477976.16666666669</v>
      </c>
      <c r="AG94" s="46">
        <f>'P_L Standard'!$C$33/12</f>
        <v>477976.16666666669</v>
      </c>
      <c r="AH94" s="46">
        <f>'P_L Standard'!$C$33/12</f>
        <v>477976.16666666669</v>
      </c>
      <c r="AI94" s="46">
        <f>'P_L Standard'!$C$33/12</f>
        <v>477976.16666666669</v>
      </c>
      <c r="AJ94" s="46">
        <f>'P_L Standard'!$C$33/12</f>
        <v>477976.16666666669</v>
      </c>
      <c r="AK94" s="46">
        <f>'P_L Standard'!$C$33/12</f>
        <v>477976.16666666669</v>
      </c>
      <c r="AL94" s="46">
        <f>'P_L Standard'!$C$33/12</f>
        <v>477976.16666666669</v>
      </c>
      <c r="AM94" s="46">
        <f>'P_L Standard'!$C$33/12</f>
        <v>477976.16666666669</v>
      </c>
      <c r="AN94" s="46">
        <f>'P_L Standard'!$C$33/12</f>
        <v>477976.16666666669</v>
      </c>
      <c r="AO94" s="46">
        <f>'P_L Standard'!$C$33/12</f>
        <v>477976.16666666669</v>
      </c>
      <c r="AP94" s="46">
        <f>'P_L Standard'!$C$33/12</f>
        <v>477976.16666666669</v>
      </c>
      <c r="AQ94" s="46">
        <f>'P_L Standard'!$C$33/12</f>
        <v>477976.16666666669</v>
      </c>
      <c r="AR94" s="46">
        <f>'P_L Standard'!$C$33/12</f>
        <v>477976.16666666669</v>
      </c>
      <c r="AS94" s="46">
        <f>'P_L Standard'!$C$33/12</f>
        <v>477976.16666666669</v>
      </c>
      <c r="AT94" s="46">
        <f>'P_L Standard'!$C$33/12</f>
        <v>477976.16666666669</v>
      </c>
      <c r="AU94" s="46">
        <f>'P_L Standard'!$C$33/12</f>
        <v>477976.16666666669</v>
      </c>
      <c r="AV94" s="46">
        <f>'P_L Standard'!$C$33/12</f>
        <v>477976.16666666669</v>
      </c>
      <c r="AW94" s="46">
        <f>'P_L Standard'!$C$33/12</f>
        <v>477976.16666666669</v>
      </c>
      <c r="AX94" s="46">
        <f>'P_L Standard'!$C$33/12</f>
        <v>477976.16666666669</v>
      </c>
      <c r="AY94" s="46">
        <f>'P_L Standard'!$C$33/12</f>
        <v>477976.16666666669</v>
      </c>
      <c r="AZ94" s="46">
        <f>'P_L Standard'!$C$33/12</f>
        <v>477976.16666666669</v>
      </c>
      <c r="BA94" s="46">
        <f>'P_L Standard'!$C$33/12</f>
        <v>477976.16666666669</v>
      </c>
    </row>
    <row r="95" spans="1:53" ht="13" x14ac:dyDescent="0.3">
      <c r="B95" s="1" t="s">
        <v>26</v>
      </c>
      <c r="C95" s="46"/>
      <c r="D95" s="46"/>
      <c r="E95" s="46">
        <f>'P_L Standard'!$C$34/52</f>
        <v>4807.6923076923076</v>
      </c>
      <c r="F95" s="46">
        <f>'P_L Standard'!$C$34/12</f>
        <v>20833.333333333332</v>
      </c>
      <c r="G95" s="46">
        <f>'P_L Standard'!$C$34/12</f>
        <v>20833.333333333332</v>
      </c>
      <c r="H95" s="46">
        <f>'P_L Standard'!$C$34/12</f>
        <v>20833.333333333332</v>
      </c>
      <c r="I95" s="46">
        <f>'P_L Standard'!$C$34/12</f>
        <v>20833.333333333332</v>
      </c>
      <c r="J95" s="46">
        <f>'P_L Standard'!$C$34/12</f>
        <v>20833.333333333332</v>
      </c>
      <c r="K95" s="46">
        <f>'P_L Standard'!$C$34/12</f>
        <v>20833.333333333332</v>
      </c>
      <c r="L95" s="46">
        <f>'P_L Standard'!$C$34/12</f>
        <v>20833.333333333332</v>
      </c>
      <c r="M95" s="46">
        <f>'P_L Standard'!$C$34/12</f>
        <v>20833.333333333332</v>
      </c>
      <c r="N95" s="46">
        <f>'P_L Standard'!$C$34/12</f>
        <v>20833.333333333332</v>
      </c>
      <c r="O95" s="46">
        <f>'P_L Standard'!$C$34/12</f>
        <v>20833.333333333332</v>
      </c>
      <c r="P95" s="46">
        <f>'P_L Standard'!$C$34/12</f>
        <v>20833.333333333332</v>
      </c>
      <c r="Q95" s="46">
        <f>'P_L Standard'!$C$34/12</f>
        <v>20833.333333333332</v>
      </c>
      <c r="R95" s="46">
        <f>'P_L Standard'!$C$34/12</f>
        <v>20833.333333333332</v>
      </c>
      <c r="S95" s="46">
        <f>'P_L Standard'!$C$34/12</f>
        <v>20833.333333333332</v>
      </c>
      <c r="T95" s="46">
        <f>'P_L Standard'!$C$34/12</f>
        <v>20833.333333333332</v>
      </c>
      <c r="U95" s="46">
        <f>'P_L Standard'!$C$34/12</f>
        <v>20833.333333333332</v>
      </c>
      <c r="V95" s="46">
        <f>'P_L Standard'!$C$34/12</f>
        <v>20833.333333333332</v>
      </c>
      <c r="W95" s="46">
        <f>'P_L Standard'!$C$34/12</f>
        <v>20833.333333333332</v>
      </c>
      <c r="X95" s="46">
        <f>'P_L Standard'!$C$34/12</f>
        <v>20833.333333333332</v>
      </c>
      <c r="Y95" s="46">
        <f>'P_L Standard'!$C$34/12</f>
        <v>20833.333333333332</v>
      </c>
      <c r="Z95" s="46">
        <f>'P_L Standard'!$C$34/12</f>
        <v>20833.333333333332</v>
      </c>
      <c r="AA95" s="46">
        <f>'P_L Standard'!$C$34/12</f>
        <v>20833.333333333332</v>
      </c>
      <c r="AB95" s="46">
        <f>'P_L Standard'!$C$34/12</f>
        <v>20833.333333333332</v>
      </c>
      <c r="AC95" s="46">
        <f>'P_L Standard'!$C$34/12</f>
        <v>20833.333333333332</v>
      </c>
      <c r="AD95" s="46">
        <f>'P_L Standard'!$C$34/12</f>
        <v>20833.333333333332</v>
      </c>
      <c r="AE95" s="46">
        <f>'P_L Standard'!$C$34/12</f>
        <v>20833.333333333332</v>
      </c>
      <c r="AF95" s="46">
        <f>'P_L Standard'!$C$34/12</f>
        <v>20833.333333333332</v>
      </c>
      <c r="AG95" s="46">
        <f>'P_L Standard'!$C$34/12</f>
        <v>20833.333333333332</v>
      </c>
      <c r="AH95" s="46">
        <f>'P_L Standard'!$C$34/12</f>
        <v>20833.333333333332</v>
      </c>
      <c r="AI95" s="46">
        <f>'P_L Standard'!$C$34/12</f>
        <v>20833.333333333332</v>
      </c>
      <c r="AJ95" s="46">
        <f>'P_L Standard'!$C$34/12</f>
        <v>20833.333333333332</v>
      </c>
      <c r="AK95" s="46">
        <f>'P_L Standard'!$C$34/12</f>
        <v>20833.333333333332</v>
      </c>
      <c r="AL95" s="46">
        <f>'P_L Standard'!$C$34/12</f>
        <v>20833.333333333332</v>
      </c>
      <c r="AM95" s="46">
        <f>'P_L Standard'!$C$34/12</f>
        <v>20833.333333333332</v>
      </c>
      <c r="AN95" s="46">
        <f>'P_L Standard'!$C$34/12</f>
        <v>20833.333333333332</v>
      </c>
      <c r="AO95" s="46">
        <f>'P_L Standard'!$C$34/12</f>
        <v>20833.333333333332</v>
      </c>
      <c r="AP95" s="46">
        <f>'P_L Standard'!$C$34/12</f>
        <v>20833.333333333332</v>
      </c>
      <c r="AQ95" s="46">
        <f>'P_L Standard'!$C$34/12</f>
        <v>20833.333333333332</v>
      </c>
      <c r="AR95" s="46">
        <f>'P_L Standard'!$C$34/12</f>
        <v>20833.333333333332</v>
      </c>
      <c r="AS95" s="46">
        <f>'P_L Standard'!$C$34/12</f>
        <v>20833.333333333332</v>
      </c>
      <c r="AT95" s="46">
        <f>'P_L Standard'!$C$34/12</f>
        <v>20833.333333333332</v>
      </c>
      <c r="AU95" s="46">
        <f>'P_L Standard'!$C$34/12</f>
        <v>20833.333333333332</v>
      </c>
      <c r="AV95" s="46">
        <f>'P_L Standard'!$C$34/12</f>
        <v>20833.333333333332</v>
      </c>
      <c r="AW95" s="46">
        <f>'P_L Standard'!$C$34/12</f>
        <v>20833.333333333332</v>
      </c>
      <c r="AX95" s="46">
        <f>'P_L Standard'!$C$34/12</f>
        <v>20833.333333333332</v>
      </c>
      <c r="AY95" s="46">
        <f>'P_L Standard'!$C$34/12</f>
        <v>20833.333333333332</v>
      </c>
      <c r="AZ95" s="46">
        <f>'P_L Standard'!$C$34/12</f>
        <v>20833.333333333332</v>
      </c>
      <c r="BA95" s="46">
        <f>'P_L Standard'!$C$34/12</f>
        <v>20833.333333333332</v>
      </c>
    </row>
    <row r="97" spans="2:53" x14ac:dyDescent="0.25">
      <c r="B97" s="1" t="s">
        <v>27</v>
      </c>
    </row>
    <row r="98" spans="2:53" x14ac:dyDescent="0.25">
      <c r="B98" s="1" t="s">
        <v>96</v>
      </c>
      <c r="C98" s="25">
        <f>'P_L Standard'!$C$35/350*C37</f>
        <v>0</v>
      </c>
      <c r="D98" s="25">
        <f>'P_L Standard'!$C$35/350*D37</f>
        <v>0</v>
      </c>
      <c r="E98" s="25">
        <f>'P_L Standard'!$C$35/350*E37</f>
        <v>61623.380000000005</v>
      </c>
      <c r="F98" s="25">
        <f>'P_L Standard'!$C$35/350*F37</f>
        <v>255296.86000000002</v>
      </c>
      <c r="G98" s="25">
        <f>'P_L Standard'!$C$35/350*G37</f>
        <v>272903.53999999998</v>
      </c>
      <c r="H98" s="25">
        <f>'P_L Standard'!$C$35/350*H37</f>
        <v>264100.2</v>
      </c>
      <c r="I98" s="25">
        <f>'P_L Standard'!$C$35/350*I37</f>
        <v>272903.53999999998</v>
      </c>
      <c r="J98" s="25">
        <f>'P_L Standard'!$C$35/350*J37</f>
        <v>272903.53999999998</v>
      </c>
      <c r="K98" s="25">
        <f>'P_L Standard'!$C$35/350*K37</f>
        <v>264100.2</v>
      </c>
      <c r="L98" s="25">
        <f>'P_L Standard'!$C$35/350*L37</f>
        <v>272903.53999999998</v>
      </c>
      <c r="M98" s="25">
        <f>'P_L Standard'!$C$35/350*M37</f>
        <v>255296.86000000002</v>
      </c>
      <c r="N98" s="25">
        <f>'P_L Standard'!$C$35/350*N37</f>
        <v>272903.53999999998</v>
      </c>
      <c r="O98" s="25">
        <f>'P_L Standard'!$C$35/350*O37</f>
        <v>167263.46</v>
      </c>
      <c r="P98" s="25">
        <f>'P_L Standard'!$C$35/350*P37</f>
        <v>237690.18</v>
      </c>
      <c r="Q98" s="25">
        <f>'P_L Standard'!$C$35/350*Q37</f>
        <v>272903.53999999998</v>
      </c>
      <c r="R98" s="25">
        <f>'P_L Standard'!$C$35/350*R37</f>
        <v>255296.86000000002</v>
      </c>
      <c r="S98" s="25">
        <f>'P_L Standard'!$C$35/350*S37</f>
        <v>272903.53999999998</v>
      </c>
      <c r="T98" s="25">
        <f>'P_L Standard'!$C$35/350*T37</f>
        <v>264100.2</v>
      </c>
      <c r="U98" s="25">
        <f>'P_L Standard'!$C$35/350*U37</f>
        <v>272903.53999999998</v>
      </c>
      <c r="V98" s="25">
        <f>'P_L Standard'!$C$35/350*V37</f>
        <v>272903.53999999998</v>
      </c>
      <c r="W98" s="25">
        <f>'P_L Standard'!$C$35/350*W37</f>
        <v>264100.2</v>
      </c>
      <c r="X98" s="25">
        <f>'P_L Standard'!$C$35/350*X37</f>
        <v>272903.53999999998</v>
      </c>
      <c r="Y98" s="25">
        <f>'P_L Standard'!$C$35/350*Y37</f>
        <v>255296.86000000002</v>
      </c>
      <c r="Z98" s="25">
        <f>'P_L Standard'!$C$35/350*Z37</f>
        <v>272903.53999999998</v>
      </c>
      <c r="AA98" s="25">
        <f>'P_L Standard'!$C$35/350*AA37</f>
        <v>158460.12</v>
      </c>
      <c r="AB98" s="25">
        <f>'P_L Standard'!$C$35/350*AB37</f>
        <v>246493.52000000002</v>
      </c>
      <c r="AC98" s="25">
        <f>'P_L Standard'!$C$35/350*AC37</f>
        <v>272903.53999999998</v>
      </c>
      <c r="AD98" s="25">
        <f>'P_L Standard'!$C$35/350*AD37</f>
        <v>255296.86000000002</v>
      </c>
      <c r="AE98" s="25">
        <f>'P_L Standard'!$C$35/350*AE37</f>
        <v>272903.53999999998</v>
      </c>
      <c r="AF98" s="25">
        <f>'P_L Standard'!$C$35/350*AF37</f>
        <v>264100.2</v>
      </c>
      <c r="AG98" s="25">
        <f>'P_L Standard'!$C$35/350*AG37</f>
        <v>272903.53999999998</v>
      </c>
      <c r="AH98" s="25">
        <f>'P_L Standard'!$C$35/350*AH37</f>
        <v>272903.53999999998</v>
      </c>
      <c r="AI98" s="25">
        <f>'P_L Standard'!$C$35/350*AI37</f>
        <v>264100.2</v>
      </c>
      <c r="AJ98" s="25">
        <f>'P_L Standard'!$C$35/350*AJ37</f>
        <v>272903.53999999998</v>
      </c>
      <c r="AK98" s="25">
        <f>'P_L Standard'!$C$35/350*AK37</f>
        <v>255296.86000000002</v>
      </c>
      <c r="AL98" s="25">
        <f>'P_L Standard'!$C$35/350*AL37</f>
        <v>272903.53999999998</v>
      </c>
      <c r="AM98" s="25">
        <f>'P_L Standard'!$C$35/350*AM37</f>
        <v>167263.46</v>
      </c>
      <c r="AN98" s="25">
        <f>'P_L Standard'!$C$35/350*AN37</f>
        <v>237690.18</v>
      </c>
      <c r="AO98" s="25">
        <f>'P_L Standard'!$C$35/350*AO37</f>
        <v>272903.53999999998</v>
      </c>
      <c r="AP98" s="25">
        <f>'P_L Standard'!$C$35/350*AP37</f>
        <v>255296.86000000002</v>
      </c>
      <c r="AQ98" s="25">
        <f>'P_L Standard'!$C$35/350*AQ37</f>
        <v>272903.53999999998</v>
      </c>
      <c r="AR98" s="25">
        <f>'P_L Standard'!$C$35/350*AR37</f>
        <v>264100.2</v>
      </c>
      <c r="AS98" s="25">
        <f>'P_L Standard'!$C$35/350*AS37</f>
        <v>272903.53999999998</v>
      </c>
      <c r="AT98" s="25">
        <f>'P_L Standard'!$C$35/350*AT37</f>
        <v>272903.53999999998</v>
      </c>
      <c r="AU98" s="25">
        <f>'P_L Standard'!$C$35/350*AU37</f>
        <v>264100.2</v>
      </c>
      <c r="AV98" s="25">
        <f>'P_L Standard'!$C$35/350*AV37</f>
        <v>272903.53999999998</v>
      </c>
      <c r="AW98" s="25">
        <f>'P_L Standard'!$C$35/350*AW37</f>
        <v>255296.86000000002</v>
      </c>
      <c r="AX98" s="25">
        <f>'P_L Standard'!$C$35/350*AX37</f>
        <v>272903.53999999998</v>
      </c>
      <c r="AY98" s="25">
        <f>'P_L Standard'!$C$35/350*AY37</f>
        <v>167263.46</v>
      </c>
      <c r="AZ98" s="25">
        <f>'P_L Standard'!$C$35/350*AZ37</f>
        <v>237690.18</v>
      </c>
      <c r="BA98" s="25">
        <f>'P_L Standard'!$C$35/350*BA37</f>
        <v>272903.53999999998</v>
      </c>
    </row>
    <row r="99" spans="2:53" x14ac:dyDescent="0.25">
      <c r="B99" s="1" t="s">
        <v>97</v>
      </c>
      <c r="C99" s="25">
        <f>'P_L Standard'!$D$35/350*C37</f>
        <v>0</v>
      </c>
      <c r="D99" s="25">
        <f>'P_L Standard'!$D$35/350*D37</f>
        <v>0</v>
      </c>
      <c r="E99" s="25">
        <f>'P_L Standard'!$D$35/350*E37</f>
        <v>0</v>
      </c>
      <c r="F99" s="25">
        <f>'P_L Standard'!$D$35/350*F37</f>
        <v>0</v>
      </c>
      <c r="G99" s="25">
        <f>'P_L Standard'!$D$35/350*G37</f>
        <v>0</v>
      </c>
      <c r="H99" s="25">
        <f>'P_L Standard'!$D$35/350*H37</f>
        <v>0</v>
      </c>
      <c r="I99" s="25">
        <f>'P_L Standard'!$D$35/350*I37</f>
        <v>0</v>
      </c>
      <c r="J99" s="25">
        <f>'P_L Standard'!$D$35/350*J37</f>
        <v>0</v>
      </c>
      <c r="K99" s="25">
        <f>'P_L Standard'!$D$35/350*K37</f>
        <v>0</v>
      </c>
      <c r="L99" s="25">
        <f>'P_L Standard'!$D$35/350*L37</f>
        <v>0</v>
      </c>
      <c r="M99" s="25">
        <f>'P_L Standard'!$D$35/350*M37</f>
        <v>0</v>
      </c>
      <c r="N99" s="25">
        <f>'P_L Standard'!$D$35/350*N37</f>
        <v>0</v>
      </c>
      <c r="O99" s="25">
        <f>'P_L Standard'!$D$35/350*O37</f>
        <v>0</v>
      </c>
      <c r="P99" s="25">
        <f>'P_L Standard'!$D$35/350*P37</f>
        <v>0</v>
      </c>
      <c r="Q99" s="25">
        <f>'P_L Standard'!$D$35/350*Q37</f>
        <v>0</v>
      </c>
      <c r="R99" s="25">
        <f>'P_L Standard'!$D$35/350*R37</f>
        <v>0</v>
      </c>
      <c r="S99" s="25">
        <f>'P_L Standard'!$D$35/350*S37</f>
        <v>0</v>
      </c>
      <c r="T99" s="25">
        <f>'P_L Standard'!$D$35/350*T37</f>
        <v>0</v>
      </c>
      <c r="U99" s="25">
        <f>'P_L Standard'!$D$35/350*U37</f>
        <v>0</v>
      </c>
      <c r="V99" s="25">
        <f>'P_L Standard'!$D$35/350*V37</f>
        <v>0</v>
      </c>
      <c r="W99" s="25">
        <f>'P_L Standard'!$D$35/350*W37</f>
        <v>0</v>
      </c>
      <c r="X99" s="25">
        <f>'P_L Standard'!$D$35/350*X37</f>
        <v>0</v>
      </c>
      <c r="Y99" s="25">
        <f>'P_L Standard'!$D$35/350*Y37</f>
        <v>0</v>
      </c>
      <c r="Z99" s="25">
        <f>'P_L Standard'!$D$35/350*Z37</f>
        <v>0</v>
      </c>
      <c r="AA99" s="25">
        <f>'P_L Standard'!$D$35/350*AA37</f>
        <v>0</v>
      </c>
      <c r="AB99" s="25">
        <f>'P_L Standard'!$D$35/350*AB37</f>
        <v>0</v>
      </c>
      <c r="AC99" s="25">
        <f>'P_L Standard'!$D$35/350*AC37</f>
        <v>0</v>
      </c>
      <c r="AD99" s="25">
        <f>'P_L Standard'!$D$35/350*AD37</f>
        <v>0</v>
      </c>
      <c r="AE99" s="25">
        <f>'P_L Standard'!$D$35/350*AE37</f>
        <v>0</v>
      </c>
      <c r="AF99" s="25">
        <f>'P_L Standard'!$D$35/350*AF37</f>
        <v>0</v>
      </c>
      <c r="AG99" s="25">
        <f>'P_L Standard'!$D$35/350*AG37</f>
        <v>0</v>
      </c>
      <c r="AH99" s="25">
        <f>'P_L Standard'!$D$35/350*AH37</f>
        <v>0</v>
      </c>
      <c r="AI99" s="25">
        <f>'P_L Standard'!$D$35/350*AI37</f>
        <v>0</v>
      </c>
      <c r="AJ99" s="25">
        <f>'P_L Standard'!$D$35/350*AJ37</f>
        <v>0</v>
      </c>
      <c r="AK99" s="25">
        <f>'P_L Standard'!$D$35/350*AK37</f>
        <v>0</v>
      </c>
      <c r="AL99" s="25">
        <f>'P_L Standard'!$D$35/350*AL37</f>
        <v>0</v>
      </c>
      <c r="AM99" s="25">
        <f>'P_L Standard'!$D$35/350*AM37</f>
        <v>0</v>
      </c>
      <c r="AN99" s="25">
        <f>'P_L Standard'!$D$35/350*AN37</f>
        <v>0</v>
      </c>
      <c r="AO99" s="25">
        <f>'P_L Standard'!$D$35/350*AO37</f>
        <v>0</v>
      </c>
      <c r="AP99" s="25">
        <f>'P_L Standard'!$D$35/350*AP37</f>
        <v>0</v>
      </c>
      <c r="AQ99" s="25">
        <f>'P_L Standard'!$D$35/350*AQ37</f>
        <v>0</v>
      </c>
      <c r="AR99" s="25">
        <f>'P_L Standard'!$D$35/350*AR37</f>
        <v>0</v>
      </c>
      <c r="AS99" s="25">
        <f>'P_L Standard'!$D$35/350*AS37</f>
        <v>0</v>
      </c>
      <c r="AT99" s="25">
        <f>'P_L Standard'!$D$35/350*AT37</f>
        <v>0</v>
      </c>
      <c r="AU99" s="25">
        <f>'P_L Standard'!$D$35/350*AU37</f>
        <v>0</v>
      </c>
      <c r="AV99" s="25">
        <f>'P_L Standard'!$D$35/350*AV37</f>
        <v>0</v>
      </c>
      <c r="AW99" s="25">
        <f>'P_L Standard'!$D$35/350*AW37</f>
        <v>0</v>
      </c>
      <c r="AX99" s="25">
        <f>'P_L Standard'!$D$35/350*AX37</f>
        <v>0</v>
      </c>
      <c r="AY99" s="25">
        <f>'P_L Standard'!$D$35/350*AY37</f>
        <v>0</v>
      </c>
      <c r="AZ99" s="25">
        <f>'P_L Standard'!$D$35/350*AZ37</f>
        <v>0</v>
      </c>
      <c r="BA99" s="25">
        <f>'P_L Standard'!$D$35/350*BA37</f>
        <v>0</v>
      </c>
    </row>
    <row r="100" spans="2:53" x14ac:dyDescent="0.25">
      <c r="B100" s="1" t="s">
        <v>98</v>
      </c>
      <c r="C100" s="37">
        <f t="shared" ref="C100:AH100" si="42">C17</f>
        <v>0</v>
      </c>
      <c r="D100" s="37">
        <f t="shared" si="42"/>
        <v>0</v>
      </c>
      <c r="E100" s="37">
        <f t="shared" si="42"/>
        <v>0</v>
      </c>
      <c r="F100" s="37">
        <f t="shared" si="42"/>
        <v>1</v>
      </c>
      <c r="G100" s="37">
        <f t="shared" si="42"/>
        <v>1</v>
      </c>
      <c r="H100" s="37">
        <f t="shared" si="42"/>
        <v>1</v>
      </c>
      <c r="I100" s="37">
        <f t="shared" si="42"/>
        <v>1</v>
      </c>
      <c r="J100" s="37">
        <f t="shared" si="42"/>
        <v>1</v>
      </c>
      <c r="K100" s="37">
        <f t="shared" si="42"/>
        <v>1</v>
      </c>
      <c r="L100" s="37">
        <f t="shared" si="42"/>
        <v>1</v>
      </c>
      <c r="M100" s="37">
        <f t="shared" si="42"/>
        <v>1</v>
      </c>
      <c r="N100" s="37">
        <f t="shared" si="42"/>
        <v>1</v>
      </c>
      <c r="O100" s="37">
        <f t="shared" si="42"/>
        <v>1</v>
      </c>
      <c r="P100" s="37">
        <f t="shared" si="42"/>
        <v>1</v>
      </c>
      <c r="Q100" s="37">
        <f t="shared" si="42"/>
        <v>1</v>
      </c>
      <c r="R100" s="37">
        <f t="shared" si="42"/>
        <v>1</v>
      </c>
      <c r="S100" s="37">
        <f t="shared" si="42"/>
        <v>1</v>
      </c>
      <c r="T100" s="37">
        <f t="shared" si="42"/>
        <v>1</v>
      </c>
      <c r="U100" s="37">
        <f t="shared" si="42"/>
        <v>1</v>
      </c>
      <c r="V100" s="37">
        <f t="shared" si="42"/>
        <v>1</v>
      </c>
      <c r="W100" s="37">
        <f t="shared" si="42"/>
        <v>1</v>
      </c>
      <c r="X100" s="37">
        <f t="shared" si="42"/>
        <v>1</v>
      </c>
      <c r="Y100" s="37">
        <f t="shared" si="42"/>
        <v>1</v>
      </c>
      <c r="Z100" s="37">
        <f t="shared" si="42"/>
        <v>1</v>
      </c>
      <c r="AA100" s="37">
        <f t="shared" si="42"/>
        <v>1</v>
      </c>
      <c r="AB100" s="37">
        <f t="shared" si="42"/>
        <v>1</v>
      </c>
      <c r="AC100" s="37">
        <f t="shared" si="42"/>
        <v>1</v>
      </c>
      <c r="AD100" s="37">
        <f t="shared" si="42"/>
        <v>1</v>
      </c>
      <c r="AE100" s="37">
        <f t="shared" si="42"/>
        <v>1</v>
      </c>
      <c r="AF100" s="37">
        <f t="shared" si="42"/>
        <v>1</v>
      </c>
      <c r="AG100" s="37">
        <f t="shared" si="42"/>
        <v>1</v>
      </c>
      <c r="AH100" s="37">
        <f t="shared" si="42"/>
        <v>1</v>
      </c>
      <c r="AI100" s="37">
        <f t="shared" ref="AI100:BA100" si="43">AI17</f>
        <v>1</v>
      </c>
      <c r="AJ100" s="37">
        <f t="shared" si="43"/>
        <v>1</v>
      </c>
      <c r="AK100" s="37">
        <f t="shared" si="43"/>
        <v>1</v>
      </c>
      <c r="AL100" s="37">
        <f t="shared" si="43"/>
        <v>1</v>
      </c>
      <c r="AM100" s="37">
        <f t="shared" si="43"/>
        <v>1</v>
      </c>
      <c r="AN100" s="37">
        <f t="shared" si="43"/>
        <v>1</v>
      </c>
      <c r="AO100" s="37">
        <f t="shared" si="43"/>
        <v>1</v>
      </c>
      <c r="AP100" s="37">
        <f t="shared" si="43"/>
        <v>1</v>
      </c>
      <c r="AQ100" s="37">
        <f t="shared" si="43"/>
        <v>1</v>
      </c>
      <c r="AR100" s="37">
        <f t="shared" si="43"/>
        <v>1</v>
      </c>
      <c r="AS100" s="37">
        <f t="shared" si="43"/>
        <v>1</v>
      </c>
      <c r="AT100" s="37">
        <f t="shared" si="43"/>
        <v>1</v>
      </c>
      <c r="AU100" s="37">
        <f t="shared" si="43"/>
        <v>1</v>
      </c>
      <c r="AV100" s="37">
        <f t="shared" si="43"/>
        <v>1</v>
      </c>
      <c r="AW100" s="37">
        <f t="shared" si="43"/>
        <v>1</v>
      </c>
      <c r="AX100" s="37">
        <f t="shared" si="43"/>
        <v>1</v>
      </c>
      <c r="AY100" s="37">
        <f t="shared" si="43"/>
        <v>1</v>
      </c>
      <c r="AZ100" s="37">
        <f t="shared" si="43"/>
        <v>1</v>
      </c>
      <c r="BA100" s="37">
        <f t="shared" si="43"/>
        <v>1</v>
      </c>
    </row>
    <row r="101" spans="2:53" x14ac:dyDescent="0.25">
      <c r="C101" s="32">
        <f t="shared" ref="C101:AH101" si="44">C99*C100</f>
        <v>0</v>
      </c>
      <c r="D101" s="32">
        <f t="shared" si="44"/>
        <v>0</v>
      </c>
      <c r="E101" s="32">
        <f t="shared" si="44"/>
        <v>0</v>
      </c>
      <c r="F101" s="32">
        <f t="shared" si="44"/>
        <v>0</v>
      </c>
      <c r="G101" s="32">
        <f t="shared" si="44"/>
        <v>0</v>
      </c>
      <c r="H101" s="32">
        <f t="shared" si="44"/>
        <v>0</v>
      </c>
      <c r="I101" s="32">
        <f t="shared" si="44"/>
        <v>0</v>
      </c>
      <c r="J101" s="32">
        <f t="shared" si="44"/>
        <v>0</v>
      </c>
      <c r="K101" s="32">
        <f t="shared" si="44"/>
        <v>0</v>
      </c>
      <c r="L101" s="32">
        <f t="shared" si="44"/>
        <v>0</v>
      </c>
      <c r="M101" s="32">
        <f t="shared" si="44"/>
        <v>0</v>
      </c>
      <c r="N101" s="32">
        <f t="shared" si="44"/>
        <v>0</v>
      </c>
      <c r="O101" s="32">
        <f t="shared" si="44"/>
        <v>0</v>
      </c>
      <c r="P101" s="32">
        <f t="shared" si="44"/>
        <v>0</v>
      </c>
      <c r="Q101" s="32">
        <f t="shared" si="44"/>
        <v>0</v>
      </c>
      <c r="R101" s="32">
        <f t="shared" si="44"/>
        <v>0</v>
      </c>
      <c r="S101" s="32">
        <f t="shared" si="44"/>
        <v>0</v>
      </c>
      <c r="T101" s="32">
        <f t="shared" si="44"/>
        <v>0</v>
      </c>
      <c r="U101" s="32">
        <f t="shared" si="44"/>
        <v>0</v>
      </c>
      <c r="V101" s="32">
        <f t="shared" si="44"/>
        <v>0</v>
      </c>
      <c r="W101" s="32">
        <f t="shared" si="44"/>
        <v>0</v>
      </c>
      <c r="X101" s="32">
        <f t="shared" si="44"/>
        <v>0</v>
      </c>
      <c r="Y101" s="32">
        <f t="shared" si="44"/>
        <v>0</v>
      </c>
      <c r="Z101" s="32">
        <f t="shared" si="44"/>
        <v>0</v>
      </c>
      <c r="AA101" s="32">
        <f t="shared" si="44"/>
        <v>0</v>
      </c>
      <c r="AB101" s="32">
        <f t="shared" si="44"/>
        <v>0</v>
      </c>
      <c r="AC101" s="32">
        <f t="shared" si="44"/>
        <v>0</v>
      </c>
      <c r="AD101" s="32">
        <f t="shared" si="44"/>
        <v>0</v>
      </c>
      <c r="AE101" s="32">
        <f t="shared" si="44"/>
        <v>0</v>
      </c>
      <c r="AF101" s="32">
        <f t="shared" si="44"/>
        <v>0</v>
      </c>
      <c r="AG101" s="32">
        <f t="shared" si="44"/>
        <v>0</v>
      </c>
      <c r="AH101" s="32">
        <f t="shared" si="44"/>
        <v>0</v>
      </c>
      <c r="AI101" s="32">
        <f t="shared" ref="AI101:BA101" si="45">AI99*AI100</f>
        <v>0</v>
      </c>
      <c r="AJ101" s="32">
        <f t="shared" si="45"/>
        <v>0</v>
      </c>
      <c r="AK101" s="32">
        <f t="shared" si="45"/>
        <v>0</v>
      </c>
      <c r="AL101" s="32">
        <f t="shared" si="45"/>
        <v>0</v>
      </c>
      <c r="AM101" s="32">
        <f t="shared" si="45"/>
        <v>0</v>
      </c>
      <c r="AN101" s="32">
        <f t="shared" si="45"/>
        <v>0</v>
      </c>
      <c r="AO101" s="32">
        <f t="shared" si="45"/>
        <v>0</v>
      </c>
      <c r="AP101" s="32">
        <f t="shared" si="45"/>
        <v>0</v>
      </c>
      <c r="AQ101" s="32">
        <f t="shared" si="45"/>
        <v>0</v>
      </c>
      <c r="AR101" s="32">
        <f t="shared" si="45"/>
        <v>0</v>
      </c>
      <c r="AS101" s="32">
        <f t="shared" si="45"/>
        <v>0</v>
      </c>
      <c r="AT101" s="32">
        <f t="shared" si="45"/>
        <v>0</v>
      </c>
      <c r="AU101" s="32">
        <f t="shared" si="45"/>
        <v>0</v>
      </c>
      <c r="AV101" s="32">
        <f t="shared" si="45"/>
        <v>0</v>
      </c>
      <c r="AW101" s="32">
        <f t="shared" si="45"/>
        <v>0</v>
      </c>
      <c r="AX101" s="32">
        <f t="shared" si="45"/>
        <v>0</v>
      </c>
      <c r="AY101" s="32">
        <f t="shared" si="45"/>
        <v>0</v>
      </c>
      <c r="AZ101" s="32">
        <f t="shared" si="45"/>
        <v>0</v>
      </c>
      <c r="BA101" s="32">
        <f t="shared" si="45"/>
        <v>0</v>
      </c>
    </row>
    <row r="102" spans="2:53" ht="13" x14ac:dyDescent="0.3">
      <c r="B102" s="2" t="s">
        <v>108</v>
      </c>
      <c r="C102" s="46">
        <f t="shared" ref="C102:AH102" si="46">C101+C98</f>
        <v>0</v>
      </c>
      <c r="D102" s="46">
        <f t="shared" si="46"/>
        <v>0</v>
      </c>
      <c r="E102" s="46">
        <f t="shared" si="46"/>
        <v>61623.380000000005</v>
      </c>
      <c r="F102" s="46">
        <f t="shared" si="46"/>
        <v>255296.86000000002</v>
      </c>
      <c r="G102" s="46">
        <f t="shared" si="46"/>
        <v>272903.53999999998</v>
      </c>
      <c r="H102" s="46">
        <f t="shared" si="46"/>
        <v>264100.2</v>
      </c>
      <c r="I102" s="46">
        <f t="shared" si="46"/>
        <v>272903.53999999998</v>
      </c>
      <c r="J102" s="46">
        <f t="shared" si="46"/>
        <v>272903.53999999998</v>
      </c>
      <c r="K102" s="46">
        <f t="shared" si="46"/>
        <v>264100.2</v>
      </c>
      <c r="L102" s="46">
        <f t="shared" si="46"/>
        <v>272903.53999999998</v>
      </c>
      <c r="M102" s="46">
        <f t="shared" si="46"/>
        <v>255296.86000000002</v>
      </c>
      <c r="N102" s="46">
        <f t="shared" si="46"/>
        <v>272903.53999999998</v>
      </c>
      <c r="O102" s="46">
        <f t="shared" si="46"/>
        <v>167263.46</v>
      </c>
      <c r="P102" s="46">
        <f t="shared" si="46"/>
        <v>237690.18</v>
      </c>
      <c r="Q102" s="46">
        <f t="shared" si="46"/>
        <v>272903.53999999998</v>
      </c>
      <c r="R102" s="46">
        <f t="shared" si="46"/>
        <v>255296.86000000002</v>
      </c>
      <c r="S102" s="46">
        <f t="shared" si="46"/>
        <v>272903.53999999998</v>
      </c>
      <c r="T102" s="46">
        <f t="shared" si="46"/>
        <v>264100.2</v>
      </c>
      <c r="U102" s="46">
        <f t="shared" si="46"/>
        <v>272903.53999999998</v>
      </c>
      <c r="V102" s="46">
        <f t="shared" si="46"/>
        <v>272903.53999999998</v>
      </c>
      <c r="W102" s="46">
        <f t="shared" si="46"/>
        <v>264100.2</v>
      </c>
      <c r="X102" s="46">
        <f t="shared" si="46"/>
        <v>272903.53999999998</v>
      </c>
      <c r="Y102" s="46">
        <f t="shared" si="46"/>
        <v>255296.86000000002</v>
      </c>
      <c r="Z102" s="46">
        <f t="shared" si="46"/>
        <v>272903.53999999998</v>
      </c>
      <c r="AA102" s="46">
        <f t="shared" si="46"/>
        <v>158460.12</v>
      </c>
      <c r="AB102" s="46">
        <f t="shared" si="46"/>
        <v>246493.52000000002</v>
      </c>
      <c r="AC102" s="46">
        <f t="shared" si="46"/>
        <v>272903.53999999998</v>
      </c>
      <c r="AD102" s="46">
        <f t="shared" si="46"/>
        <v>255296.86000000002</v>
      </c>
      <c r="AE102" s="46">
        <f t="shared" si="46"/>
        <v>272903.53999999998</v>
      </c>
      <c r="AF102" s="46">
        <f t="shared" si="46"/>
        <v>264100.2</v>
      </c>
      <c r="AG102" s="46">
        <f t="shared" si="46"/>
        <v>272903.53999999998</v>
      </c>
      <c r="AH102" s="46">
        <f t="shared" si="46"/>
        <v>272903.53999999998</v>
      </c>
      <c r="AI102" s="46">
        <f t="shared" ref="AI102:BA102" si="47">AI101+AI98</f>
        <v>264100.2</v>
      </c>
      <c r="AJ102" s="46">
        <f t="shared" si="47"/>
        <v>272903.53999999998</v>
      </c>
      <c r="AK102" s="46">
        <f t="shared" si="47"/>
        <v>255296.86000000002</v>
      </c>
      <c r="AL102" s="46">
        <f t="shared" si="47"/>
        <v>272903.53999999998</v>
      </c>
      <c r="AM102" s="46">
        <f t="shared" si="47"/>
        <v>167263.46</v>
      </c>
      <c r="AN102" s="46">
        <f t="shared" si="47"/>
        <v>237690.18</v>
      </c>
      <c r="AO102" s="46">
        <f t="shared" si="47"/>
        <v>272903.53999999998</v>
      </c>
      <c r="AP102" s="46">
        <f t="shared" si="47"/>
        <v>255296.86000000002</v>
      </c>
      <c r="AQ102" s="46">
        <f t="shared" si="47"/>
        <v>272903.53999999998</v>
      </c>
      <c r="AR102" s="46">
        <f t="shared" si="47"/>
        <v>264100.2</v>
      </c>
      <c r="AS102" s="46">
        <f t="shared" si="47"/>
        <v>272903.53999999998</v>
      </c>
      <c r="AT102" s="46">
        <f t="shared" si="47"/>
        <v>272903.53999999998</v>
      </c>
      <c r="AU102" s="46">
        <f t="shared" si="47"/>
        <v>264100.2</v>
      </c>
      <c r="AV102" s="46">
        <f t="shared" si="47"/>
        <v>272903.53999999998</v>
      </c>
      <c r="AW102" s="46">
        <f t="shared" si="47"/>
        <v>255296.86000000002</v>
      </c>
      <c r="AX102" s="46">
        <f t="shared" si="47"/>
        <v>272903.53999999998</v>
      </c>
      <c r="AY102" s="46">
        <f t="shared" si="47"/>
        <v>167263.46</v>
      </c>
      <c r="AZ102" s="46">
        <f t="shared" si="47"/>
        <v>237690.18</v>
      </c>
      <c r="BA102" s="46">
        <f t="shared" si="47"/>
        <v>272903.53999999998</v>
      </c>
    </row>
    <row r="104" spans="2:53" ht="13" x14ac:dyDescent="0.3">
      <c r="B104" s="1" t="s">
        <v>28</v>
      </c>
      <c r="C104" s="46"/>
      <c r="D104" s="46"/>
      <c r="E104" s="46">
        <f>F104/4</f>
        <v>3645.8333333333335</v>
      </c>
      <c r="F104" s="46">
        <f>'P_L Standard'!$C$36/12</f>
        <v>14583.333333333334</v>
      </c>
      <c r="G104" s="46">
        <f>'P_L Standard'!$C$36/12</f>
        <v>14583.333333333334</v>
      </c>
      <c r="H104" s="46">
        <f>'P_L Standard'!$C$36/12</f>
        <v>14583.333333333334</v>
      </c>
      <c r="I104" s="46">
        <f>'P_L Standard'!$C$36/12</f>
        <v>14583.333333333334</v>
      </c>
      <c r="J104" s="46">
        <f>'P_L Standard'!$C$36/12</f>
        <v>14583.333333333334</v>
      </c>
      <c r="K104" s="46">
        <f>'P_L Standard'!$C$36/12</f>
        <v>14583.333333333334</v>
      </c>
      <c r="L104" s="46">
        <f>'P_L Standard'!$C$36/12</f>
        <v>14583.333333333334</v>
      </c>
      <c r="M104" s="46">
        <f>'P_L Standard'!$C$36/12</f>
        <v>14583.333333333334</v>
      </c>
      <c r="N104" s="46">
        <f>'P_L Standard'!$C$36/12</f>
        <v>14583.333333333334</v>
      </c>
      <c r="O104" s="46">
        <f>'P_L Standard'!$C$36/12</f>
        <v>14583.333333333334</v>
      </c>
      <c r="P104" s="46">
        <f>'P_L Standard'!$C$36/12</f>
        <v>14583.333333333334</v>
      </c>
      <c r="Q104" s="46">
        <f>'P_L Standard'!$C$36/12</f>
        <v>14583.333333333334</v>
      </c>
      <c r="R104" s="46">
        <f>'P_L Standard'!$C$36/12</f>
        <v>14583.333333333334</v>
      </c>
      <c r="S104" s="46">
        <f>'P_L Standard'!$C$36/12</f>
        <v>14583.333333333334</v>
      </c>
      <c r="T104" s="46">
        <f>'P_L Standard'!$C$36/12</f>
        <v>14583.333333333334</v>
      </c>
      <c r="U104" s="46">
        <f>'P_L Standard'!$C$36/12</f>
        <v>14583.333333333334</v>
      </c>
      <c r="V104" s="46">
        <f>'P_L Standard'!$C$36/12</f>
        <v>14583.333333333334</v>
      </c>
      <c r="W104" s="46">
        <f>'P_L Standard'!$C$36/12</f>
        <v>14583.333333333334</v>
      </c>
      <c r="X104" s="46">
        <f>'P_L Standard'!$C$36/12</f>
        <v>14583.333333333334</v>
      </c>
      <c r="Y104" s="46">
        <f>'P_L Standard'!$C$36/12</f>
        <v>14583.333333333334</v>
      </c>
      <c r="Z104" s="46">
        <f>'P_L Standard'!$C$36/12</f>
        <v>14583.333333333334</v>
      </c>
      <c r="AA104" s="46">
        <f>'P_L Standard'!$C$36/12</f>
        <v>14583.333333333334</v>
      </c>
      <c r="AB104" s="46">
        <f>'P_L Standard'!$C$36/12</f>
        <v>14583.333333333334</v>
      </c>
      <c r="AC104" s="46">
        <f>'P_L Standard'!$C$36/12</f>
        <v>14583.333333333334</v>
      </c>
      <c r="AD104" s="46">
        <f>'P_L Standard'!$C$36/12</f>
        <v>14583.333333333334</v>
      </c>
      <c r="AE104" s="46">
        <f>'P_L Standard'!$C$36/12</f>
        <v>14583.333333333334</v>
      </c>
      <c r="AF104" s="46">
        <f>'P_L Standard'!$C$36/12</f>
        <v>14583.333333333334</v>
      </c>
      <c r="AG104" s="46">
        <f>'P_L Standard'!$C$36/12</f>
        <v>14583.333333333334</v>
      </c>
      <c r="AH104" s="46">
        <f>'P_L Standard'!$C$36/12</f>
        <v>14583.333333333334</v>
      </c>
      <c r="AI104" s="46">
        <f>'P_L Standard'!$C$36/12</f>
        <v>14583.333333333334</v>
      </c>
      <c r="AJ104" s="46">
        <f>'P_L Standard'!$C$36/12</f>
        <v>14583.333333333334</v>
      </c>
      <c r="AK104" s="46">
        <f>'P_L Standard'!$C$36/12</f>
        <v>14583.333333333334</v>
      </c>
      <c r="AL104" s="46">
        <f>'P_L Standard'!$C$36/12</f>
        <v>14583.333333333334</v>
      </c>
      <c r="AM104" s="46">
        <f>'P_L Standard'!$C$36/12</f>
        <v>14583.333333333334</v>
      </c>
      <c r="AN104" s="46">
        <f>'P_L Standard'!$C$36/12</f>
        <v>14583.333333333334</v>
      </c>
      <c r="AO104" s="46">
        <f>'P_L Standard'!$C$36/12</f>
        <v>14583.333333333334</v>
      </c>
      <c r="AP104" s="46">
        <f>'P_L Standard'!$C$36/12</f>
        <v>14583.333333333334</v>
      </c>
      <c r="AQ104" s="46">
        <f>'P_L Standard'!$C$36/12</f>
        <v>14583.333333333334</v>
      </c>
      <c r="AR104" s="46">
        <f>'P_L Standard'!$C$36/12</f>
        <v>14583.333333333334</v>
      </c>
      <c r="AS104" s="46">
        <f>'P_L Standard'!$C$36/12</f>
        <v>14583.333333333334</v>
      </c>
      <c r="AT104" s="46">
        <f>'P_L Standard'!$C$36/12</f>
        <v>14583.333333333334</v>
      </c>
      <c r="AU104" s="46">
        <f>'P_L Standard'!$C$36/12</f>
        <v>14583.333333333334</v>
      </c>
      <c r="AV104" s="46">
        <f>'P_L Standard'!$C$36/12</f>
        <v>14583.333333333334</v>
      </c>
      <c r="AW104" s="46">
        <f>'P_L Standard'!$C$36/12</f>
        <v>14583.333333333334</v>
      </c>
      <c r="AX104" s="46">
        <f>'P_L Standard'!$C$36/12</f>
        <v>14583.333333333334</v>
      </c>
      <c r="AY104" s="46">
        <f>'P_L Standard'!$C$36/12</f>
        <v>14583.333333333334</v>
      </c>
      <c r="AZ104" s="46">
        <f>'P_L Standard'!$C$36/12</f>
        <v>14583.333333333334</v>
      </c>
      <c r="BA104" s="46">
        <f>'P_L Standard'!$C$36/12</f>
        <v>14583.333333333334</v>
      </c>
    </row>
    <row r="105" spans="2:53" x14ac:dyDescent="0.25">
      <c r="B105" s="1" t="s">
        <v>29</v>
      </c>
    </row>
    <row r="106" spans="2:53" x14ac:dyDescent="0.25">
      <c r="B106" s="1" t="s">
        <v>96</v>
      </c>
      <c r="C106" s="25">
        <f>'P_L Standard'!$C$37/350*'P_L Workings'!C37</f>
        <v>0</v>
      </c>
      <c r="D106" s="25">
        <f>'P_L Standard'!$C$37/350*'P_L Workings'!D37</f>
        <v>0</v>
      </c>
      <c r="E106" s="25">
        <f>'P_L Standard'!$C$37/350*'P_L Workings'!E37</f>
        <v>900.00000000000011</v>
      </c>
      <c r="F106" s="25">
        <f>'P_L Standard'!$C$37/350*'P_L Workings'!F37</f>
        <v>3728.5714285714289</v>
      </c>
      <c r="G106" s="25">
        <f>'P_L Standard'!$C$37/350*'P_L Workings'!G37</f>
        <v>3985.7142857142862</v>
      </c>
      <c r="H106" s="25">
        <f>'P_L Standard'!$C$37/350*'P_L Workings'!H37</f>
        <v>3857.1428571428573</v>
      </c>
      <c r="I106" s="25">
        <f>'P_L Standard'!$C$37/350*'P_L Workings'!I37</f>
        <v>3985.7142857142862</v>
      </c>
      <c r="J106" s="25">
        <f>'P_L Standard'!$C$37/350*'P_L Workings'!J37</f>
        <v>3985.7142857142862</v>
      </c>
      <c r="K106" s="25">
        <f>'P_L Standard'!$C$37/350*'P_L Workings'!K37</f>
        <v>3857.1428571428573</v>
      </c>
      <c r="L106" s="25">
        <f>'P_L Standard'!$C$37/350*'P_L Workings'!L37</f>
        <v>3985.7142857142862</v>
      </c>
      <c r="M106" s="25">
        <f>'P_L Standard'!$C$37/350*'P_L Workings'!M37</f>
        <v>3728.5714285714289</v>
      </c>
      <c r="N106" s="25">
        <f>'P_L Standard'!$C$37/350*'P_L Workings'!N37</f>
        <v>3985.7142857142862</v>
      </c>
      <c r="O106" s="25">
        <f>'P_L Standard'!$C$37/350*'P_L Workings'!O37</f>
        <v>2442.8571428571431</v>
      </c>
      <c r="P106" s="25">
        <f>'P_L Standard'!$C$37/350*'P_L Workings'!P37</f>
        <v>3471.4285714285716</v>
      </c>
      <c r="Q106" s="25">
        <f>'P_L Standard'!$C$37/350*'P_L Workings'!Q37</f>
        <v>3985.7142857142862</v>
      </c>
      <c r="R106" s="25">
        <f>'P_L Standard'!$C$37/350*'P_L Workings'!R37</f>
        <v>3728.5714285714289</v>
      </c>
      <c r="S106" s="25">
        <f>'P_L Standard'!$C$37/350*'P_L Workings'!S37</f>
        <v>3985.7142857142862</v>
      </c>
      <c r="T106" s="25">
        <f>'P_L Standard'!$C$37/350*'P_L Workings'!T37</f>
        <v>3857.1428571428573</v>
      </c>
      <c r="U106" s="25">
        <f>'P_L Standard'!$C$37/350*'P_L Workings'!U37</f>
        <v>3985.7142857142862</v>
      </c>
      <c r="V106" s="25">
        <f>'P_L Standard'!$C$37/350*'P_L Workings'!V37</f>
        <v>3985.7142857142862</v>
      </c>
      <c r="W106" s="25">
        <f>'P_L Standard'!$C$37/350*'P_L Workings'!W37</f>
        <v>3857.1428571428573</v>
      </c>
      <c r="X106" s="25">
        <f>'P_L Standard'!$C$37/350*'P_L Workings'!X37</f>
        <v>3985.7142857142862</v>
      </c>
      <c r="Y106" s="25">
        <f>'P_L Standard'!$C$37/350*'P_L Workings'!Y37</f>
        <v>3728.5714285714289</v>
      </c>
      <c r="Z106" s="25">
        <f>'P_L Standard'!$C$37/350*'P_L Workings'!Z37</f>
        <v>3985.7142857142862</v>
      </c>
      <c r="AA106" s="25">
        <f>'P_L Standard'!$C$37/350*'P_L Workings'!AA37</f>
        <v>2314.2857142857147</v>
      </c>
      <c r="AB106" s="25">
        <f>'P_L Standard'!$C$37/350*'P_L Workings'!AB37</f>
        <v>3600.0000000000005</v>
      </c>
      <c r="AC106" s="25">
        <f>'P_L Standard'!$C$37/350*'P_L Workings'!AC37</f>
        <v>3985.7142857142862</v>
      </c>
      <c r="AD106" s="25">
        <f>'P_L Standard'!$C$37/350*'P_L Workings'!AD37</f>
        <v>3728.5714285714289</v>
      </c>
      <c r="AE106" s="25">
        <f>'P_L Standard'!$C$37/350*'P_L Workings'!AE37</f>
        <v>3985.7142857142862</v>
      </c>
      <c r="AF106" s="25">
        <f>'P_L Standard'!$C$37/350*'P_L Workings'!AF37</f>
        <v>3857.1428571428573</v>
      </c>
      <c r="AG106" s="25">
        <f>'P_L Standard'!$C$37/350*'P_L Workings'!AG37</f>
        <v>3985.7142857142862</v>
      </c>
      <c r="AH106" s="25">
        <f>'P_L Standard'!$C$37/350*'P_L Workings'!AH37</f>
        <v>3985.7142857142862</v>
      </c>
      <c r="AI106" s="25">
        <f>'P_L Standard'!$C$37/350*'P_L Workings'!AI37</f>
        <v>3857.1428571428573</v>
      </c>
      <c r="AJ106" s="25">
        <f>'P_L Standard'!$C$37/350*'P_L Workings'!AJ37</f>
        <v>3985.7142857142862</v>
      </c>
      <c r="AK106" s="25">
        <f>'P_L Standard'!$C$37/350*'P_L Workings'!AK37</f>
        <v>3728.5714285714289</v>
      </c>
      <c r="AL106" s="25">
        <f>'P_L Standard'!$C$37/350*'P_L Workings'!AL37</f>
        <v>3985.7142857142862</v>
      </c>
      <c r="AM106" s="25">
        <f>'P_L Standard'!$C$37/350*'P_L Workings'!AM37</f>
        <v>2442.8571428571431</v>
      </c>
      <c r="AN106" s="25">
        <f>'P_L Standard'!$C$37/350*'P_L Workings'!AN37</f>
        <v>3471.4285714285716</v>
      </c>
      <c r="AO106" s="25">
        <f>'P_L Standard'!$C$37/350*'P_L Workings'!AO37</f>
        <v>3985.7142857142862</v>
      </c>
      <c r="AP106" s="25">
        <f>'P_L Standard'!$C$37/350*'P_L Workings'!AP37</f>
        <v>3728.5714285714289</v>
      </c>
      <c r="AQ106" s="25">
        <f>'P_L Standard'!$C$37/350*'P_L Workings'!AQ37</f>
        <v>3985.7142857142862</v>
      </c>
      <c r="AR106" s="25">
        <f>'P_L Standard'!$C$37/350*'P_L Workings'!AR37</f>
        <v>3857.1428571428573</v>
      </c>
      <c r="AS106" s="25">
        <f>'P_L Standard'!$C$37/350*'P_L Workings'!AS37</f>
        <v>3985.7142857142862</v>
      </c>
      <c r="AT106" s="25">
        <f>'P_L Standard'!$C$37/350*'P_L Workings'!AT37</f>
        <v>3985.7142857142862</v>
      </c>
      <c r="AU106" s="25">
        <f>'P_L Standard'!$C$37/350*'P_L Workings'!AU37</f>
        <v>3857.1428571428573</v>
      </c>
      <c r="AV106" s="25">
        <f>'P_L Standard'!$C$37/350*'P_L Workings'!AV37</f>
        <v>3985.7142857142862</v>
      </c>
      <c r="AW106" s="25">
        <f>'P_L Standard'!$C$37/350*'P_L Workings'!AW37</f>
        <v>3728.5714285714289</v>
      </c>
      <c r="AX106" s="25">
        <f>'P_L Standard'!$C$37/350*'P_L Workings'!AX37</f>
        <v>3985.7142857142862</v>
      </c>
      <c r="AY106" s="25">
        <f>'P_L Standard'!$C$37/350*'P_L Workings'!AY37</f>
        <v>2442.8571428571431</v>
      </c>
      <c r="AZ106" s="25">
        <f>'P_L Standard'!$C$37/350*'P_L Workings'!AZ37</f>
        <v>3471.4285714285716</v>
      </c>
      <c r="BA106" s="25">
        <f>'P_L Standard'!$C$37/350*'P_L Workings'!BA37</f>
        <v>3985.7142857142862</v>
      </c>
    </row>
    <row r="107" spans="2:53" x14ac:dyDescent="0.25">
      <c r="B107" s="1" t="s">
        <v>97</v>
      </c>
      <c r="C107" s="25">
        <f>'P_L Standard'!$D$37/350*'P_L Workings'!C37*'P_L Workings'!C100</f>
        <v>0</v>
      </c>
      <c r="D107" s="25">
        <f>'P_L Standard'!$D$37/350*'P_L Workings'!D37*'P_L Workings'!D100</f>
        <v>0</v>
      </c>
      <c r="E107" s="25">
        <f>'P_L Standard'!$D$37/350*'P_L Workings'!E37*'P_L Workings'!E100</f>
        <v>0</v>
      </c>
      <c r="F107" s="25">
        <f>'P_L Standard'!$D$37/350*'P_L Workings'!F37*'P_L Workings'!F100</f>
        <v>0</v>
      </c>
      <c r="G107" s="25">
        <f>'P_L Standard'!$D$37/350*'P_L Workings'!G37*'P_L Workings'!G100</f>
        <v>0</v>
      </c>
      <c r="H107" s="25">
        <f>'P_L Standard'!$D$37/350*'P_L Workings'!H37*'P_L Workings'!H100</f>
        <v>0</v>
      </c>
      <c r="I107" s="25">
        <f>'P_L Standard'!$D$37/350*'P_L Workings'!I37*'P_L Workings'!I100</f>
        <v>0</v>
      </c>
      <c r="J107" s="25">
        <f>'P_L Standard'!$D$37/350*'P_L Workings'!J37*'P_L Workings'!J100</f>
        <v>0</v>
      </c>
      <c r="K107" s="25">
        <f>'P_L Standard'!$D$37/350*'P_L Workings'!K37*'P_L Workings'!K100</f>
        <v>0</v>
      </c>
      <c r="L107" s="25">
        <f>'P_L Standard'!$D$37/350*'P_L Workings'!L37*'P_L Workings'!L100</f>
        <v>0</v>
      </c>
      <c r="M107" s="25">
        <f>'P_L Standard'!$D$37/350*'P_L Workings'!M37*'P_L Workings'!M100</f>
        <v>0</v>
      </c>
      <c r="N107" s="25">
        <f>'P_L Standard'!$D$37/350*'P_L Workings'!N37*'P_L Workings'!N100</f>
        <v>0</v>
      </c>
      <c r="O107" s="25">
        <f>'P_L Standard'!$D$37/350*'P_L Workings'!O37*'P_L Workings'!O100</f>
        <v>0</v>
      </c>
      <c r="P107" s="25">
        <f>'P_L Standard'!$D$37/350*'P_L Workings'!P37*'P_L Workings'!P100</f>
        <v>0</v>
      </c>
      <c r="Q107" s="25">
        <f>'P_L Standard'!$D$37/350*'P_L Workings'!Q37*'P_L Workings'!Q100</f>
        <v>0</v>
      </c>
      <c r="R107" s="25">
        <f>'P_L Standard'!$D$37/350*'P_L Workings'!R37*'P_L Workings'!R100</f>
        <v>0</v>
      </c>
      <c r="S107" s="25">
        <f>'P_L Standard'!$D$37/350*'P_L Workings'!S37*'P_L Workings'!S100</f>
        <v>0</v>
      </c>
      <c r="T107" s="25">
        <f>'P_L Standard'!$D$37/350*'P_L Workings'!T37*'P_L Workings'!T100</f>
        <v>0</v>
      </c>
      <c r="U107" s="25">
        <f>'P_L Standard'!$D$37/350*'P_L Workings'!U37*'P_L Workings'!U100</f>
        <v>0</v>
      </c>
      <c r="V107" s="25">
        <f>'P_L Standard'!$D$37/350*'P_L Workings'!V37*'P_L Workings'!V100</f>
        <v>0</v>
      </c>
      <c r="W107" s="25">
        <f>'P_L Standard'!$D$37/350*'P_L Workings'!W37*'P_L Workings'!W100</f>
        <v>0</v>
      </c>
      <c r="X107" s="25">
        <f>'P_L Standard'!$D$37/350*'P_L Workings'!X37*'P_L Workings'!X100</f>
        <v>0</v>
      </c>
      <c r="Y107" s="25">
        <f>'P_L Standard'!$D$37/350*'P_L Workings'!Y37*'P_L Workings'!Y100</f>
        <v>0</v>
      </c>
      <c r="Z107" s="25">
        <f>'P_L Standard'!$D$37/350*'P_L Workings'!Z37*'P_L Workings'!Z100</f>
        <v>0</v>
      </c>
      <c r="AA107" s="25">
        <f>'P_L Standard'!$D$37/350*'P_L Workings'!AA37*'P_L Workings'!AA100</f>
        <v>0</v>
      </c>
      <c r="AB107" s="25">
        <f>'P_L Standard'!$D$37/350*'P_L Workings'!AB37*'P_L Workings'!AB100</f>
        <v>0</v>
      </c>
      <c r="AC107" s="25">
        <f>'P_L Standard'!$D$37/350*'P_L Workings'!AC37*'P_L Workings'!AC100</f>
        <v>0</v>
      </c>
      <c r="AD107" s="25">
        <f>'P_L Standard'!$D$37/350*'P_L Workings'!AD37*'P_L Workings'!AD100</f>
        <v>0</v>
      </c>
      <c r="AE107" s="25">
        <f>'P_L Standard'!$D$37/350*'P_L Workings'!AE37*'P_L Workings'!AE100</f>
        <v>0</v>
      </c>
      <c r="AF107" s="25">
        <f>'P_L Standard'!$D$37/350*'P_L Workings'!AF37*'P_L Workings'!AF100</f>
        <v>0</v>
      </c>
      <c r="AG107" s="25">
        <f>'P_L Standard'!$D$37/350*'P_L Workings'!AG37*'P_L Workings'!AG100</f>
        <v>0</v>
      </c>
      <c r="AH107" s="25">
        <f>'P_L Standard'!$D$37/350*'P_L Workings'!AH37*'P_L Workings'!AH100</f>
        <v>0</v>
      </c>
      <c r="AI107" s="25">
        <f>'P_L Standard'!$D$37/350*'P_L Workings'!AI37*'P_L Workings'!AI100</f>
        <v>0</v>
      </c>
      <c r="AJ107" s="25">
        <f>'P_L Standard'!$D$37/350*'P_L Workings'!AJ37*'P_L Workings'!AJ100</f>
        <v>0</v>
      </c>
      <c r="AK107" s="25">
        <f>'P_L Standard'!$D$37/350*'P_L Workings'!AK37*'P_L Workings'!AK100</f>
        <v>0</v>
      </c>
      <c r="AL107" s="25">
        <f>'P_L Standard'!$D$37/350*'P_L Workings'!AL37*'P_L Workings'!AL100</f>
        <v>0</v>
      </c>
      <c r="AM107" s="25">
        <f>'P_L Standard'!$D$37/350*'P_L Workings'!AM37*'P_L Workings'!AM100</f>
        <v>0</v>
      </c>
      <c r="AN107" s="25">
        <f>'P_L Standard'!$D$37/350*'P_L Workings'!AN37*'P_L Workings'!AN100</f>
        <v>0</v>
      </c>
      <c r="AO107" s="25">
        <f>'P_L Standard'!$D$37/350*'P_L Workings'!AO37*'P_L Workings'!AO100</f>
        <v>0</v>
      </c>
      <c r="AP107" s="25">
        <f>'P_L Standard'!$D$37/350*'P_L Workings'!AP37*'P_L Workings'!AP100</f>
        <v>0</v>
      </c>
      <c r="AQ107" s="25">
        <f>'P_L Standard'!$D$37/350*'P_L Workings'!AQ37*'P_L Workings'!AQ100</f>
        <v>0</v>
      </c>
      <c r="AR107" s="25">
        <f>'P_L Standard'!$D$37/350*'P_L Workings'!AR37*'P_L Workings'!AR100</f>
        <v>0</v>
      </c>
      <c r="AS107" s="25">
        <f>'P_L Standard'!$D$37/350*'P_L Workings'!AS37*'P_L Workings'!AS100</f>
        <v>0</v>
      </c>
      <c r="AT107" s="25">
        <f>'P_L Standard'!$D$37/350*'P_L Workings'!AT37*'P_L Workings'!AT100</f>
        <v>0</v>
      </c>
      <c r="AU107" s="25">
        <f>'P_L Standard'!$D$37/350*'P_L Workings'!AU37*'P_L Workings'!AU100</f>
        <v>0</v>
      </c>
      <c r="AV107" s="25">
        <f>'P_L Standard'!$D$37/350*'P_L Workings'!AV37*'P_L Workings'!AV100</f>
        <v>0</v>
      </c>
      <c r="AW107" s="25">
        <f>'P_L Standard'!$D$37/350*'P_L Workings'!AW37*'P_L Workings'!AW100</f>
        <v>0</v>
      </c>
      <c r="AX107" s="25">
        <f>'P_L Standard'!$D$37/350*'P_L Workings'!AX37*'P_L Workings'!AX100</f>
        <v>0</v>
      </c>
      <c r="AY107" s="25">
        <f>'P_L Standard'!$D$37/350*'P_L Workings'!AY37*'P_L Workings'!AY100</f>
        <v>0</v>
      </c>
      <c r="AZ107" s="25">
        <f>'P_L Standard'!$D$37/350*'P_L Workings'!AZ37*'P_L Workings'!AZ100</f>
        <v>0</v>
      </c>
      <c r="BA107" s="25">
        <f>'P_L Standard'!$D$37/350*'P_L Workings'!BA37*'P_L Workings'!BA100</f>
        <v>0</v>
      </c>
    </row>
    <row r="108" spans="2:53" ht="13" x14ac:dyDescent="0.3">
      <c r="B108" s="2" t="s">
        <v>109</v>
      </c>
      <c r="C108" s="35">
        <f t="shared" ref="C108:AH108" si="48">SUM(C106:C107)</f>
        <v>0</v>
      </c>
      <c r="D108" s="35">
        <f t="shared" si="48"/>
        <v>0</v>
      </c>
      <c r="E108" s="35">
        <f t="shared" si="48"/>
        <v>900.00000000000011</v>
      </c>
      <c r="F108" s="35">
        <f t="shared" si="48"/>
        <v>3728.5714285714289</v>
      </c>
      <c r="G108" s="35">
        <f t="shared" si="48"/>
        <v>3985.7142857142862</v>
      </c>
      <c r="H108" s="35">
        <f t="shared" si="48"/>
        <v>3857.1428571428573</v>
      </c>
      <c r="I108" s="35">
        <f t="shared" si="48"/>
        <v>3985.7142857142862</v>
      </c>
      <c r="J108" s="35">
        <f t="shared" si="48"/>
        <v>3985.7142857142862</v>
      </c>
      <c r="K108" s="35">
        <f t="shared" si="48"/>
        <v>3857.1428571428573</v>
      </c>
      <c r="L108" s="35">
        <f t="shared" si="48"/>
        <v>3985.7142857142862</v>
      </c>
      <c r="M108" s="35">
        <f t="shared" si="48"/>
        <v>3728.5714285714289</v>
      </c>
      <c r="N108" s="35">
        <f t="shared" si="48"/>
        <v>3985.7142857142862</v>
      </c>
      <c r="O108" s="35">
        <f t="shared" si="48"/>
        <v>2442.8571428571431</v>
      </c>
      <c r="P108" s="35">
        <f t="shared" si="48"/>
        <v>3471.4285714285716</v>
      </c>
      <c r="Q108" s="35">
        <f t="shared" si="48"/>
        <v>3985.7142857142862</v>
      </c>
      <c r="R108" s="35">
        <f t="shared" si="48"/>
        <v>3728.5714285714289</v>
      </c>
      <c r="S108" s="35">
        <f t="shared" si="48"/>
        <v>3985.7142857142862</v>
      </c>
      <c r="T108" s="35">
        <f t="shared" si="48"/>
        <v>3857.1428571428573</v>
      </c>
      <c r="U108" s="35">
        <f t="shared" si="48"/>
        <v>3985.7142857142862</v>
      </c>
      <c r="V108" s="35">
        <f t="shared" si="48"/>
        <v>3985.7142857142862</v>
      </c>
      <c r="W108" s="35">
        <f t="shared" si="48"/>
        <v>3857.1428571428573</v>
      </c>
      <c r="X108" s="35">
        <f t="shared" si="48"/>
        <v>3985.7142857142862</v>
      </c>
      <c r="Y108" s="35">
        <f t="shared" si="48"/>
        <v>3728.5714285714289</v>
      </c>
      <c r="Z108" s="35">
        <f t="shared" si="48"/>
        <v>3985.7142857142862</v>
      </c>
      <c r="AA108" s="35">
        <f t="shared" si="48"/>
        <v>2314.2857142857147</v>
      </c>
      <c r="AB108" s="35">
        <f t="shared" si="48"/>
        <v>3600.0000000000005</v>
      </c>
      <c r="AC108" s="35">
        <f t="shared" si="48"/>
        <v>3985.7142857142862</v>
      </c>
      <c r="AD108" s="35">
        <f t="shared" si="48"/>
        <v>3728.5714285714289</v>
      </c>
      <c r="AE108" s="35">
        <f t="shared" si="48"/>
        <v>3985.7142857142862</v>
      </c>
      <c r="AF108" s="35">
        <f t="shared" si="48"/>
        <v>3857.1428571428573</v>
      </c>
      <c r="AG108" s="35">
        <f t="shared" si="48"/>
        <v>3985.7142857142862</v>
      </c>
      <c r="AH108" s="35">
        <f t="shared" si="48"/>
        <v>3985.7142857142862</v>
      </c>
      <c r="AI108" s="35">
        <f t="shared" ref="AI108:BA108" si="49">SUM(AI106:AI107)</f>
        <v>3857.1428571428573</v>
      </c>
      <c r="AJ108" s="35">
        <f t="shared" si="49"/>
        <v>3985.7142857142862</v>
      </c>
      <c r="AK108" s="35">
        <f t="shared" si="49"/>
        <v>3728.5714285714289</v>
      </c>
      <c r="AL108" s="35">
        <f t="shared" si="49"/>
        <v>3985.7142857142862</v>
      </c>
      <c r="AM108" s="35">
        <f t="shared" si="49"/>
        <v>2442.8571428571431</v>
      </c>
      <c r="AN108" s="35">
        <f t="shared" si="49"/>
        <v>3471.4285714285716</v>
      </c>
      <c r="AO108" s="35">
        <f t="shared" si="49"/>
        <v>3985.7142857142862</v>
      </c>
      <c r="AP108" s="35">
        <f t="shared" si="49"/>
        <v>3728.5714285714289</v>
      </c>
      <c r="AQ108" s="35">
        <f t="shared" si="49"/>
        <v>3985.7142857142862</v>
      </c>
      <c r="AR108" s="35">
        <f t="shared" si="49"/>
        <v>3857.1428571428573</v>
      </c>
      <c r="AS108" s="35">
        <f t="shared" si="49"/>
        <v>3985.7142857142862</v>
      </c>
      <c r="AT108" s="35">
        <f t="shared" si="49"/>
        <v>3985.7142857142862</v>
      </c>
      <c r="AU108" s="35">
        <f t="shared" si="49"/>
        <v>3857.1428571428573</v>
      </c>
      <c r="AV108" s="35">
        <f t="shared" si="49"/>
        <v>3985.7142857142862</v>
      </c>
      <c r="AW108" s="35">
        <f t="shared" si="49"/>
        <v>3728.5714285714289</v>
      </c>
      <c r="AX108" s="35">
        <f t="shared" si="49"/>
        <v>3985.7142857142862</v>
      </c>
      <c r="AY108" s="35">
        <f t="shared" si="49"/>
        <v>2442.8571428571431</v>
      </c>
      <c r="AZ108" s="35">
        <f t="shared" si="49"/>
        <v>3471.4285714285716</v>
      </c>
      <c r="BA108" s="35">
        <f t="shared" si="49"/>
        <v>3985.7142857142862</v>
      </c>
    </row>
    <row r="109" spans="2:53" ht="13" x14ac:dyDescent="0.3">
      <c r="B109" s="2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</row>
    <row r="110" spans="2:53" x14ac:dyDescent="0.25">
      <c r="B110" s="1" t="s">
        <v>30</v>
      </c>
    </row>
    <row r="111" spans="2:53" x14ac:dyDescent="0.25">
      <c r="B111" s="1" t="s">
        <v>96</v>
      </c>
      <c r="C111" s="25">
        <f>'P_L Standard'!$C$38/350*'P_L Workings'!C37</f>
        <v>0</v>
      </c>
      <c r="D111" s="25">
        <f>'P_L Standard'!$C$38/350*'P_L Workings'!D37</f>
        <v>0</v>
      </c>
      <c r="E111" s="25">
        <f>'P_L Standard'!$C$38/350*'P_L Workings'!E37</f>
        <v>7200.0000000000009</v>
      </c>
      <c r="F111" s="25">
        <f>'P_L Standard'!$C$38/350*'P_L Workings'!F37</f>
        <v>29828.571428571431</v>
      </c>
      <c r="G111" s="25">
        <f>'P_L Standard'!$C$38/350*'P_L Workings'!G37</f>
        <v>31885.71428571429</v>
      </c>
      <c r="H111" s="25">
        <f>'P_L Standard'!$C$38/350*'P_L Workings'!H37</f>
        <v>30857.142857142859</v>
      </c>
      <c r="I111" s="25">
        <f>'P_L Standard'!$C$38/350*'P_L Workings'!I37</f>
        <v>31885.71428571429</v>
      </c>
      <c r="J111" s="25">
        <f>'P_L Standard'!$C$38/350*'P_L Workings'!J37</f>
        <v>31885.71428571429</v>
      </c>
      <c r="K111" s="25">
        <f>'P_L Standard'!$C$38/350*'P_L Workings'!K37</f>
        <v>30857.142857142859</v>
      </c>
      <c r="L111" s="25">
        <f>'P_L Standard'!$C$38/350*'P_L Workings'!L37</f>
        <v>31885.71428571429</v>
      </c>
      <c r="M111" s="25">
        <f>'P_L Standard'!$C$38/350*'P_L Workings'!M37</f>
        <v>29828.571428571431</v>
      </c>
      <c r="N111" s="25">
        <f>'P_L Standard'!$C$38/350*'P_L Workings'!N37</f>
        <v>31885.71428571429</v>
      </c>
      <c r="O111" s="25">
        <f>'P_L Standard'!$C$38/350*'P_L Workings'!O37</f>
        <v>19542.857142857145</v>
      </c>
      <c r="P111" s="25">
        <f>'P_L Standard'!$C$38/350*'P_L Workings'!P37</f>
        <v>27771.428571428572</v>
      </c>
      <c r="Q111" s="25">
        <f>'P_L Standard'!$C$38/350*'P_L Workings'!Q37</f>
        <v>31885.71428571429</v>
      </c>
      <c r="R111" s="25">
        <f>'P_L Standard'!$C$38/350*'P_L Workings'!R37</f>
        <v>29828.571428571431</v>
      </c>
      <c r="S111" s="25">
        <f>'P_L Standard'!$C$38/350*'P_L Workings'!S37</f>
        <v>31885.71428571429</v>
      </c>
      <c r="T111" s="25">
        <f>'P_L Standard'!$C$38/350*'P_L Workings'!T37</f>
        <v>30857.142857142859</v>
      </c>
      <c r="U111" s="25">
        <f>'P_L Standard'!$C$38/350*'P_L Workings'!U37</f>
        <v>31885.71428571429</v>
      </c>
      <c r="V111" s="25">
        <f>'P_L Standard'!$C$38/350*'P_L Workings'!V37</f>
        <v>31885.71428571429</v>
      </c>
      <c r="W111" s="25">
        <f>'P_L Standard'!$C$38/350*'P_L Workings'!W37</f>
        <v>30857.142857142859</v>
      </c>
      <c r="X111" s="25">
        <f>'P_L Standard'!$C$38/350*'P_L Workings'!X37</f>
        <v>31885.71428571429</v>
      </c>
      <c r="Y111" s="25">
        <f>'P_L Standard'!$C$38/350*'P_L Workings'!Y37</f>
        <v>29828.571428571431</v>
      </c>
      <c r="Z111" s="25">
        <f>'P_L Standard'!$C$38/350*'P_L Workings'!Z37</f>
        <v>31885.71428571429</v>
      </c>
      <c r="AA111" s="25">
        <f>'P_L Standard'!$C$38/350*'P_L Workings'!AA37</f>
        <v>18514.285714285717</v>
      </c>
      <c r="AB111" s="25">
        <f>'P_L Standard'!$C$38/350*'P_L Workings'!AB37</f>
        <v>28800.000000000004</v>
      </c>
      <c r="AC111" s="25">
        <f>'P_L Standard'!$C$38/350*'P_L Workings'!AC37</f>
        <v>31885.71428571429</v>
      </c>
      <c r="AD111" s="25">
        <f>'P_L Standard'!$C$38/350*'P_L Workings'!AD37</f>
        <v>29828.571428571431</v>
      </c>
      <c r="AE111" s="25">
        <f>'P_L Standard'!$C$38/350*'P_L Workings'!AE37</f>
        <v>31885.71428571429</v>
      </c>
      <c r="AF111" s="25">
        <f>'P_L Standard'!$C$38/350*'P_L Workings'!AF37</f>
        <v>30857.142857142859</v>
      </c>
      <c r="AG111" s="25">
        <f>'P_L Standard'!$C$38/350*'P_L Workings'!AG37</f>
        <v>31885.71428571429</v>
      </c>
      <c r="AH111" s="25">
        <f>'P_L Standard'!$C$38/350*'P_L Workings'!AH37</f>
        <v>31885.71428571429</v>
      </c>
      <c r="AI111" s="25">
        <f>'P_L Standard'!$C$38/350*'P_L Workings'!AI37</f>
        <v>30857.142857142859</v>
      </c>
      <c r="AJ111" s="25">
        <f>'P_L Standard'!$C$38/350*'P_L Workings'!AJ37</f>
        <v>31885.71428571429</v>
      </c>
      <c r="AK111" s="25">
        <f>'P_L Standard'!$C$38/350*'P_L Workings'!AK37</f>
        <v>29828.571428571431</v>
      </c>
      <c r="AL111" s="25">
        <f>'P_L Standard'!$C$38/350*'P_L Workings'!AL37</f>
        <v>31885.71428571429</v>
      </c>
      <c r="AM111" s="25">
        <f>'P_L Standard'!$C$38/350*'P_L Workings'!AM37</f>
        <v>19542.857142857145</v>
      </c>
      <c r="AN111" s="25">
        <f>'P_L Standard'!$C$38/350*'P_L Workings'!AN37</f>
        <v>27771.428571428572</v>
      </c>
      <c r="AO111" s="25">
        <f>'P_L Standard'!$C$38/350*'P_L Workings'!AO37</f>
        <v>31885.71428571429</v>
      </c>
      <c r="AP111" s="25">
        <f>'P_L Standard'!$C$38/350*'P_L Workings'!AP37</f>
        <v>29828.571428571431</v>
      </c>
      <c r="AQ111" s="25">
        <f>'P_L Standard'!$C$38/350*'P_L Workings'!AQ37</f>
        <v>31885.71428571429</v>
      </c>
      <c r="AR111" s="25">
        <f>'P_L Standard'!$C$38/350*'P_L Workings'!AR37</f>
        <v>30857.142857142859</v>
      </c>
      <c r="AS111" s="25">
        <f>'P_L Standard'!$C$38/350*'P_L Workings'!AS37</f>
        <v>31885.71428571429</v>
      </c>
      <c r="AT111" s="25">
        <f>'P_L Standard'!$C$38/350*'P_L Workings'!AT37</f>
        <v>31885.71428571429</v>
      </c>
      <c r="AU111" s="25">
        <f>'P_L Standard'!$C$38/350*'P_L Workings'!AU37</f>
        <v>30857.142857142859</v>
      </c>
      <c r="AV111" s="25">
        <f>'P_L Standard'!$C$38/350*'P_L Workings'!AV37</f>
        <v>31885.71428571429</v>
      </c>
      <c r="AW111" s="25">
        <f>'P_L Standard'!$C$38/350*'P_L Workings'!AW37</f>
        <v>29828.571428571431</v>
      </c>
      <c r="AX111" s="25">
        <f>'P_L Standard'!$C$38/350*'P_L Workings'!AX37</f>
        <v>31885.71428571429</v>
      </c>
      <c r="AY111" s="25">
        <f>'P_L Standard'!$C$38/350*'P_L Workings'!AY37</f>
        <v>19542.857142857145</v>
      </c>
      <c r="AZ111" s="25">
        <f>'P_L Standard'!$C$38/350*'P_L Workings'!AZ37</f>
        <v>27771.428571428572</v>
      </c>
      <c r="BA111" s="25">
        <f>'P_L Standard'!$C$38/350*'P_L Workings'!BA37</f>
        <v>31885.71428571429</v>
      </c>
    </row>
    <row r="112" spans="2:53" x14ac:dyDescent="0.25">
      <c r="B112" s="1" t="s">
        <v>97</v>
      </c>
      <c r="C112" s="25">
        <f>'P_L Standard'!$D$38/350*'P_L Workings'!C37*'P_L Workings'!C100</f>
        <v>0</v>
      </c>
      <c r="D112" s="25">
        <f>'P_L Standard'!$D$38/350*'P_L Workings'!D37*'P_L Workings'!D100</f>
        <v>0</v>
      </c>
      <c r="E112" s="25">
        <f>'P_L Standard'!$D$38/350*'P_L Workings'!E37*'P_L Workings'!E100</f>
        <v>0</v>
      </c>
      <c r="F112" s="25">
        <f>'P_L Standard'!$D$38/350*'P_L Workings'!F37*'P_L Workings'!F100</f>
        <v>0</v>
      </c>
      <c r="G112" s="25">
        <f>'P_L Standard'!$D$38/350*'P_L Workings'!G37*'P_L Workings'!G100</f>
        <v>0</v>
      </c>
      <c r="H112" s="25">
        <f>'P_L Standard'!$D$38/350*'P_L Workings'!H37*'P_L Workings'!H100</f>
        <v>0</v>
      </c>
      <c r="I112" s="25">
        <f>'P_L Standard'!$D$38/350*'P_L Workings'!I37*'P_L Workings'!I100</f>
        <v>0</v>
      </c>
      <c r="J112" s="25">
        <f>'P_L Standard'!$D$38/350*'P_L Workings'!J37*'P_L Workings'!J100</f>
        <v>0</v>
      </c>
      <c r="K112" s="25">
        <f>'P_L Standard'!$D$38/350*'P_L Workings'!K37*'P_L Workings'!K100</f>
        <v>0</v>
      </c>
      <c r="L112" s="25">
        <f>'P_L Standard'!$D$38/350*'P_L Workings'!L37*'P_L Workings'!L100</f>
        <v>0</v>
      </c>
      <c r="M112" s="25">
        <f>'P_L Standard'!$D$38/350*'P_L Workings'!M37*'P_L Workings'!M100</f>
        <v>0</v>
      </c>
      <c r="N112" s="25">
        <f>'P_L Standard'!$D$38/350*'P_L Workings'!N37*'P_L Workings'!N100</f>
        <v>0</v>
      </c>
      <c r="O112" s="25">
        <f>'P_L Standard'!$D$38/350*'P_L Workings'!O37*'P_L Workings'!O100</f>
        <v>0</v>
      </c>
      <c r="P112" s="25">
        <f>'P_L Standard'!$D$38/350*'P_L Workings'!P37*'P_L Workings'!P100</f>
        <v>0</v>
      </c>
      <c r="Q112" s="25">
        <f>'P_L Standard'!$D$38/350*'P_L Workings'!Q37*'P_L Workings'!Q100</f>
        <v>0</v>
      </c>
      <c r="R112" s="25">
        <f>'P_L Standard'!$D$38/350*'P_L Workings'!R37*'P_L Workings'!R100</f>
        <v>0</v>
      </c>
      <c r="S112" s="25">
        <f>'P_L Standard'!$D$38/350*'P_L Workings'!S37*'P_L Workings'!S100</f>
        <v>0</v>
      </c>
      <c r="T112" s="25">
        <f>'P_L Standard'!$D$38/350*'P_L Workings'!T37*'P_L Workings'!T100</f>
        <v>0</v>
      </c>
      <c r="U112" s="25">
        <f>'P_L Standard'!$D$38/350*'P_L Workings'!U37*'P_L Workings'!U100</f>
        <v>0</v>
      </c>
      <c r="V112" s="25">
        <f>'P_L Standard'!$D$38/350*'P_L Workings'!V37*'P_L Workings'!V100</f>
        <v>0</v>
      </c>
      <c r="W112" s="25">
        <f>'P_L Standard'!$D$38/350*'P_L Workings'!W37*'P_L Workings'!W100</f>
        <v>0</v>
      </c>
      <c r="X112" s="25">
        <f>'P_L Standard'!$D$38/350*'P_L Workings'!X37*'P_L Workings'!X100</f>
        <v>0</v>
      </c>
      <c r="Y112" s="25">
        <f>'P_L Standard'!$D$38/350*'P_L Workings'!Y37*'P_L Workings'!Y100</f>
        <v>0</v>
      </c>
      <c r="Z112" s="25">
        <f>'P_L Standard'!$D$38/350*'P_L Workings'!Z37*'P_L Workings'!Z100</f>
        <v>0</v>
      </c>
      <c r="AA112" s="25">
        <f>'P_L Standard'!$D$38/350*'P_L Workings'!AA37*'P_L Workings'!AA100</f>
        <v>0</v>
      </c>
      <c r="AB112" s="25">
        <f>'P_L Standard'!$D$38/350*'P_L Workings'!AB37*'P_L Workings'!AB100</f>
        <v>0</v>
      </c>
      <c r="AC112" s="25">
        <f>'P_L Standard'!$D$38/350*'P_L Workings'!AC37*'P_L Workings'!AC100</f>
        <v>0</v>
      </c>
      <c r="AD112" s="25">
        <f>'P_L Standard'!$D$38/350*'P_L Workings'!AD37*'P_L Workings'!AD100</f>
        <v>0</v>
      </c>
      <c r="AE112" s="25">
        <f>'P_L Standard'!$D$38/350*'P_L Workings'!AE37*'P_L Workings'!AE100</f>
        <v>0</v>
      </c>
      <c r="AF112" s="25">
        <f>'P_L Standard'!$D$38/350*'P_L Workings'!AF37*'P_L Workings'!AF100</f>
        <v>0</v>
      </c>
      <c r="AG112" s="25">
        <f>'P_L Standard'!$D$38/350*'P_L Workings'!AG37*'P_L Workings'!AG100</f>
        <v>0</v>
      </c>
      <c r="AH112" s="25">
        <f>'P_L Standard'!$D$38/350*'P_L Workings'!AH37*'P_L Workings'!AH100</f>
        <v>0</v>
      </c>
      <c r="AI112" s="25">
        <f>'P_L Standard'!$D$38/350*'P_L Workings'!AI37*'P_L Workings'!AI100</f>
        <v>0</v>
      </c>
      <c r="AJ112" s="25">
        <f>'P_L Standard'!$D$38/350*'P_L Workings'!AJ37*'P_L Workings'!AJ100</f>
        <v>0</v>
      </c>
      <c r="AK112" s="25">
        <f>'P_L Standard'!$D$38/350*'P_L Workings'!AK37*'P_L Workings'!AK100</f>
        <v>0</v>
      </c>
      <c r="AL112" s="25">
        <f>'P_L Standard'!$D$38/350*'P_L Workings'!AL37*'P_L Workings'!AL100</f>
        <v>0</v>
      </c>
      <c r="AM112" s="25">
        <f>'P_L Standard'!$D$38/350*'P_L Workings'!AM37*'P_L Workings'!AM100</f>
        <v>0</v>
      </c>
      <c r="AN112" s="25">
        <f>'P_L Standard'!$D$38/350*'P_L Workings'!AN37*'P_L Workings'!AN100</f>
        <v>0</v>
      </c>
      <c r="AO112" s="25">
        <f>'P_L Standard'!$D$38/350*'P_L Workings'!AO37*'P_L Workings'!AO100</f>
        <v>0</v>
      </c>
      <c r="AP112" s="25">
        <f>'P_L Standard'!$D$38/350*'P_L Workings'!AP37*'P_L Workings'!AP100</f>
        <v>0</v>
      </c>
      <c r="AQ112" s="25">
        <f>'P_L Standard'!$D$38/350*'P_L Workings'!AQ37*'P_L Workings'!AQ100</f>
        <v>0</v>
      </c>
      <c r="AR112" s="25">
        <f>'P_L Standard'!$D$38/350*'P_L Workings'!AR37*'P_L Workings'!AR100</f>
        <v>0</v>
      </c>
      <c r="AS112" s="25">
        <f>'P_L Standard'!$D$38/350*'P_L Workings'!AS37*'P_L Workings'!AS100</f>
        <v>0</v>
      </c>
      <c r="AT112" s="25">
        <f>'P_L Standard'!$D$38/350*'P_L Workings'!AT37*'P_L Workings'!AT100</f>
        <v>0</v>
      </c>
      <c r="AU112" s="25">
        <f>'P_L Standard'!$D$38/350*'P_L Workings'!AU37*'P_L Workings'!AU100</f>
        <v>0</v>
      </c>
      <c r="AV112" s="25">
        <f>'P_L Standard'!$D$38/350*'P_L Workings'!AV37*'P_L Workings'!AV100</f>
        <v>0</v>
      </c>
      <c r="AW112" s="25">
        <f>'P_L Standard'!$D$38/350*'P_L Workings'!AW37*'P_L Workings'!AW100</f>
        <v>0</v>
      </c>
      <c r="AX112" s="25">
        <f>'P_L Standard'!$D$38/350*'P_L Workings'!AX37*'P_L Workings'!AX100</f>
        <v>0</v>
      </c>
      <c r="AY112" s="25">
        <f>'P_L Standard'!$D$38/350*'P_L Workings'!AY37*'P_L Workings'!AY100</f>
        <v>0</v>
      </c>
      <c r="AZ112" s="25">
        <f>'P_L Standard'!$D$38/350*'P_L Workings'!AZ37*'P_L Workings'!AZ100</f>
        <v>0</v>
      </c>
      <c r="BA112" s="25">
        <f>'P_L Standard'!$D$38/350*'P_L Workings'!BA37*'P_L Workings'!BA100</f>
        <v>0</v>
      </c>
    </row>
    <row r="113" spans="2:53" ht="13" x14ac:dyDescent="0.3">
      <c r="B113" s="2" t="s">
        <v>110</v>
      </c>
      <c r="C113" s="35">
        <f t="shared" ref="C113:AH113" si="50">SUM(C111:C112)</f>
        <v>0</v>
      </c>
      <c r="D113" s="35">
        <f t="shared" si="50"/>
        <v>0</v>
      </c>
      <c r="E113" s="35">
        <f t="shared" si="50"/>
        <v>7200.0000000000009</v>
      </c>
      <c r="F113" s="35">
        <f t="shared" si="50"/>
        <v>29828.571428571431</v>
      </c>
      <c r="G113" s="35">
        <f t="shared" si="50"/>
        <v>31885.71428571429</v>
      </c>
      <c r="H113" s="35">
        <f t="shared" si="50"/>
        <v>30857.142857142859</v>
      </c>
      <c r="I113" s="35">
        <f t="shared" si="50"/>
        <v>31885.71428571429</v>
      </c>
      <c r="J113" s="35">
        <f t="shared" si="50"/>
        <v>31885.71428571429</v>
      </c>
      <c r="K113" s="35">
        <f t="shared" si="50"/>
        <v>30857.142857142859</v>
      </c>
      <c r="L113" s="35">
        <f t="shared" si="50"/>
        <v>31885.71428571429</v>
      </c>
      <c r="M113" s="35">
        <f t="shared" si="50"/>
        <v>29828.571428571431</v>
      </c>
      <c r="N113" s="35">
        <f t="shared" si="50"/>
        <v>31885.71428571429</v>
      </c>
      <c r="O113" s="35">
        <f t="shared" si="50"/>
        <v>19542.857142857145</v>
      </c>
      <c r="P113" s="35">
        <f t="shared" si="50"/>
        <v>27771.428571428572</v>
      </c>
      <c r="Q113" s="35">
        <f t="shared" si="50"/>
        <v>31885.71428571429</v>
      </c>
      <c r="R113" s="35">
        <f t="shared" si="50"/>
        <v>29828.571428571431</v>
      </c>
      <c r="S113" s="35">
        <f t="shared" si="50"/>
        <v>31885.71428571429</v>
      </c>
      <c r="T113" s="35">
        <f t="shared" si="50"/>
        <v>30857.142857142859</v>
      </c>
      <c r="U113" s="35">
        <f t="shared" si="50"/>
        <v>31885.71428571429</v>
      </c>
      <c r="V113" s="35">
        <f t="shared" si="50"/>
        <v>31885.71428571429</v>
      </c>
      <c r="W113" s="35">
        <f t="shared" si="50"/>
        <v>30857.142857142859</v>
      </c>
      <c r="X113" s="35">
        <f t="shared" si="50"/>
        <v>31885.71428571429</v>
      </c>
      <c r="Y113" s="35">
        <f t="shared" si="50"/>
        <v>29828.571428571431</v>
      </c>
      <c r="Z113" s="35">
        <f t="shared" si="50"/>
        <v>31885.71428571429</v>
      </c>
      <c r="AA113" s="35">
        <f t="shared" si="50"/>
        <v>18514.285714285717</v>
      </c>
      <c r="AB113" s="35">
        <f t="shared" si="50"/>
        <v>28800.000000000004</v>
      </c>
      <c r="AC113" s="35">
        <f t="shared" si="50"/>
        <v>31885.71428571429</v>
      </c>
      <c r="AD113" s="35">
        <f t="shared" si="50"/>
        <v>29828.571428571431</v>
      </c>
      <c r="AE113" s="35">
        <f t="shared" si="50"/>
        <v>31885.71428571429</v>
      </c>
      <c r="AF113" s="35">
        <f t="shared" si="50"/>
        <v>30857.142857142859</v>
      </c>
      <c r="AG113" s="35">
        <f t="shared" si="50"/>
        <v>31885.71428571429</v>
      </c>
      <c r="AH113" s="35">
        <f t="shared" si="50"/>
        <v>31885.71428571429</v>
      </c>
      <c r="AI113" s="35">
        <f t="shared" ref="AI113:BA113" si="51">SUM(AI111:AI112)</f>
        <v>30857.142857142859</v>
      </c>
      <c r="AJ113" s="35">
        <f t="shared" si="51"/>
        <v>31885.71428571429</v>
      </c>
      <c r="AK113" s="35">
        <f t="shared" si="51"/>
        <v>29828.571428571431</v>
      </c>
      <c r="AL113" s="35">
        <f t="shared" si="51"/>
        <v>31885.71428571429</v>
      </c>
      <c r="AM113" s="35">
        <f t="shared" si="51"/>
        <v>19542.857142857145</v>
      </c>
      <c r="AN113" s="35">
        <f t="shared" si="51"/>
        <v>27771.428571428572</v>
      </c>
      <c r="AO113" s="35">
        <f t="shared" si="51"/>
        <v>31885.71428571429</v>
      </c>
      <c r="AP113" s="35">
        <f t="shared" si="51"/>
        <v>29828.571428571431</v>
      </c>
      <c r="AQ113" s="35">
        <f t="shared" si="51"/>
        <v>31885.71428571429</v>
      </c>
      <c r="AR113" s="35">
        <f t="shared" si="51"/>
        <v>30857.142857142859</v>
      </c>
      <c r="AS113" s="35">
        <f t="shared" si="51"/>
        <v>31885.71428571429</v>
      </c>
      <c r="AT113" s="35">
        <f t="shared" si="51"/>
        <v>31885.71428571429</v>
      </c>
      <c r="AU113" s="35">
        <f t="shared" si="51"/>
        <v>30857.142857142859</v>
      </c>
      <c r="AV113" s="35">
        <f t="shared" si="51"/>
        <v>31885.71428571429</v>
      </c>
      <c r="AW113" s="35">
        <f t="shared" si="51"/>
        <v>29828.571428571431</v>
      </c>
      <c r="AX113" s="35">
        <f t="shared" si="51"/>
        <v>31885.71428571429</v>
      </c>
      <c r="AY113" s="35">
        <f t="shared" si="51"/>
        <v>19542.857142857145</v>
      </c>
      <c r="AZ113" s="35">
        <f t="shared" si="51"/>
        <v>27771.428571428572</v>
      </c>
      <c r="BA113" s="35">
        <f t="shared" si="51"/>
        <v>31885.71428571429</v>
      </c>
    </row>
    <row r="115" spans="2:53" x14ac:dyDescent="0.25">
      <c r="B115" s="1" t="s">
        <v>31</v>
      </c>
    </row>
    <row r="116" spans="2:53" x14ac:dyDescent="0.25">
      <c r="B116" s="1" t="s">
        <v>96</v>
      </c>
      <c r="C116" s="25">
        <f>'P_L Standard'!$C$39/350*'P_L Workings'!C37</f>
        <v>0</v>
      </c>
      <c r="D116" s="25">
        <f>'P_L Standard'!$C$39/350*'P_L Workings'!D37</f>
        <v>0</v>
      </c>
      <c r="E116" s="25">
        <f>'P_L Standard'!$C$39/350*'P_L Workings'!E37</f>
        <v>27000</v>
      </c>
      <c r="F116" s="25">
        <f>'P_L Standard'!$C$39/350*'P_L Workings'!F37</f>
        <v>111857.14285714287</v>
      </c>
      <c r="G116" s="25">
        <f>'P_L Standard'!$C$39/350*'P_L Workings'!G37</f>
        <v>119571.42857142858</v>
      </c>
      <c r="H116" s="25">
        <f>'P_L Standard'!$C$39/350*'P_L Workings'!H37</f>
        <v>115714.28571428572</v>
      </c>
      <c r="I116" s="25">
        <f>'P_L Standard'!$C$39/350*'P_L Workings'!I37</f>
        <v>119571.42857142858</v>
      </c>
      <c r="J116" s="25">
        <f>'P_L Standard'!$C$39/350*'P_L Workings'!J37</f>
        <v>119571.42857142858</v>
      </c>
      <c r="K116" s="25">
        <f>'P_L Standard'!$C$39/350*'P_L Workings'!K37</f>
        <v>115714.28571428572</v>
      </c>
      <c r="L116" s="25">
        <f>'P_L Standard'!$C$39/350*'P_L Workings'!L37</f>
        <v>119571.42857142858</v>
      </c>
      <c r="M116" s="25">
        <f>'P_L Standard'!$C$39/350*'P_L Workings'!M37</f>
        <v>111857.14285714287</v>
      </c>
      <c r="N116" s="25">
        <f>'P_L Standard'!$C$39/350*'P_L Workings'!N37</f>
        <v>119571.42857142858</v>
      </c>
      <c r="O116" s="25">
        <f>'P_L Standard'!$C$39/350*'P_L Workings'!O37</f>
        <v>73285.71428571429</v>
      </c>
      <c r="P116" s="25">
        <f>'P_L Standard'!$C$39/350*'P_L Workings'!P37</f>
        <v>104142.85714285714</v>
      </c>
      <c r="Q116" s="25">
        <f>'P_L Standard'!$C$39/350*'P_L Workings'!Q37</f>
        <v>119571.42857142858</v>
      </c>
      <c r="R116" s="25">
        <f>'P_L Standard'!$C$39/350*'P_L Workings'!R37</f>
        <v>111857.14285714287</v>
      </c>
      <c r="S116" s="25">
        <f>'P_L Standard'!$C$39/350*'P_L Workings'!S37</f>
        <v>119571.42857142858</v>
      </c>
      <c r="T116" s="25">
        <f>'P_L Standard'!$C$39/350*'P_L Workings'!T37</f>
        <v>115714.28571428572</v>
      </c>
      <c r="U116" s="25">
        <f>'P_L Standard'!$C$39/350*'P_L Workings'!U37</f>
        <v>119571.42857142858</v>
      </c>
      <c r="V116" s="25">
        <f>'P_L Standard'!$C$39/350*'P_L Workings'!V37</f>
        <v>119571.42857142858</v>
      </c>
      <c r="W116" s="25">
        <f>'P_L Standard'!$C$39/350*'P_L Workings'!W37</f>
        <v>115714.28571428572</v>
      </c>
      <c r="X116" s="25">
        <f>'P_L Standard'!$C$39/350*'P_L Workings'!X37</f>
        <v>119571.42857142858</v>
      </c>
      <c r="Y116" s="25">
        <f>'P_L Standard'!$C$39/350*'P_L Workings'!Y37</f>
        <v>111857.14285714287</v>
      </c>
      <c r="Z116" s="25">
        <f>'P_L Standard'!$C$39/350*'P_L Workings'!Z37</f>
        <v>119571.42857142858</v>
      </c>
      <c r="AA116" s="25">
        <f>'P_L Standard'!$C$39/350*'P_L Workings'!AA37</f>
        <v>69428.571428571435</v>
      </c>
      <c r="AB116" s="25">
        <f>'P_L Standard'!$C$39/350*'P_L Workings'!AB37</f>
        <v>108000</v>
      </c>
      <c r="AC116" s="25">
        <f>'P_L Standard'!$C$39/350*'P_L Workings'!AC37</f>
        <v>119571.42857142858</v>
      </c>
      <c r="AD116" s="25">
        <f>'P_L Standard'!$C$39/350*'P_L Workings'!AD37</f>
        <v>111857.14285714287</v>
      </c>
      <c r="AE116" s="25">
        <f>'P_L Standard'!$C$39/350*'P_L Workings'!AE37</f>
        <v>119571.42857142858</v>
      </c>
      <c r="AF116" s="25">
        <f>'P_L Standard'!$C$39/350*'P_L Workings'!AF37</f>
        <v>115714.28571428572</v>
      </c>
      <c r="AG116" s="25">
        <f>'P_L Standard'!$C$39/350*'P_L Workings'!AG37</f>
        <v>119571.42857142858</v>
      </c>
      <c r="AH116" s="25">
        <f>'P_L Standard'!$C$39/350*'P_L Workings'!AH37</f>
        <v>119571.42857142858</v>
      </c>
      <c r="AI116" s="25">
        <f>'P_L Standard'!$C$39/350*'P_L Workings'!AI37</f>
        <v>115714.28571428572</v>
      </c>
      <c r="AJ116" s="25">
        <f>'P_L Standard'!$C$39/350*'P_L Workings'!AJ37</f>
        <v>119571.42857142858</v>
      </c>
      <c r="AK116" s="25">
        <f>'P_L Standard'!$C$39/350*'P_L Workings'!AK37</f>
        <v>111857.14285714287</v>
      </c>
      <c r="AL116" s="25">
        <f>'P_L Standard'!$C$39/350*'P_L Workings'!AL37</f>
        <v>119571.42857142858</v>
      </c>
      <c r="AM116" s="25">
        <f>'P_L Standard'!$C$39/350*'P_L Workings'!AM37</f>
        <v>73285.71428571429</v>
      </c>
      <c r="AN116" s="25">
        <f>'P_L Standard'!$C$39/350*'P_L Workings'!AN37</f>
        <v>104142.85714285714</v>
      </c>
      <c r="AO116" s="25">
        <f>'P_L Standard'!$C$39/350*'P_L Workings'!AO37</f>
        <v>119571.42857142858</v>
      </c>
      <c r="AP116" s="25">
        <f>'P_L Standard'!$C$39/350*'P_L Workings'!AP37</f>
        <v>111857.14285714287</v>
      </c>
      <c r="AQ116" s="25">
        <f>'P_L Standard'!$C$39/350*'P_L Workings'!AQ37</f>
        <v>119571.42857142858</v>
      </c>
      <c r="AR116" s="25">
        <f>'P_L Standard'!$C$39/350*'P_L Workings'!AR37</f>
        <v>115714.28571428572</v>
      </c>
      <c r="AS116" s="25">
        <f>'P_L Standard'!$C$39/350*'P_L Workings'!AS37</f>
        <v>119571.42857142858</v>
      </c>
      <c r="AT116" s="25">
        <f>'P_L Standard'!$C$39/350*'P_L Workings'!AT37</f>
        <v>119571.42857142858</v>
      </c>
      <c r="AU116" s="25">
        <f>'P_L Standard'!$C$39/350*'P_L Workings'!AU37</f>
        <v>115714.28571428572</v>
      </c>
      <c r="AV116" s="25">
        <f>'P_L Standard'!$C$39/350*'P_L Workings'!AV37</f>
        <v>119571.42857142858</v>
      </c>
      <c r="AW116" s="25">
        <f>'P_L Standard'!$C$39/350*'P_L Workings'!AW37</f>
        <v>111857.14285714287</v>
      </c>
      <c r="AX116" s="25">
        <f>'P_L Standard'!$C$39/350*'P_L Workings'!AX37</f>
        <v>119571.42857142858</v>
      </c>
      <c r="AY116" s="25">
        <f>'P_L Standard'!$C$39/350*'P_L Workings'!AY37</f>
        <v>73285.71428571429</v>
      </c>
      <c r="AZ116" s="25">
        <f>'P_L Standard'!$C$39/350*'P_L Workings'!AZ37</f>
        <v>104142.85714285714</v>
      </c>
      <c r="BA116" s="25">
        <f>'P_L Standard'!$C$39/350*'P_L Workings'!BA37</f>
        <v>119571.42857142858</v>
      </c>
    </row>
    <row r="117" spans="2:53" x14ac:dyDescent="0.25">
      <c r="B117" s="1" t="s">
        <v>97</v>
      </c>
      <c r="C117" s="25">
        <f>'P_L Standard'!$D$39/350*'P_L Workings'!C37*'P_L Workings'!C100</f>
        <v>0</v>
      </c>
      <c r="D117" s="25">
        <f>'P_L Standard'!$D$39/350*'P_L Workings'!D37*'P_L Workings'!D100</f>
        <v>0</v>
      </c>
      <c r="E117" s="25">
        <f>'P_L Standard'!$D$39/350*'P_L Workings'!E37*'P_L Workings'!E100</f>
        <v>0</v>
      </c>
      <c r="F117" s="25">
        <f>'P_L Standard'!$D$39/350*'P_L Workings'!F37*'P_L Workings'!F100</f>
        <v>0</v>
      </c>
      <c r="G117" s="25">
        <f>'P_L Standard'!$D$39/350*'P_L Workings'!G37*'P_L Workings'!G100</f>
        <v>0</v>
      </c>
      <c r="H117" s="25">
        <f>'P_L Standard'!$D$39/350*'P_L Workings'!H37*'P_L Workings'!H100</f>
        <v>0</v>
      </c>
      <c r="I117" s="25">
        <f>'P_L Standard'!$D$39/350*'P_L Workings'!I37*'P_L Workings'!I100</f>
        <v>0</v>
      </c>
      <c r="J117" s="25">
        <f>'P_L Standard'!$D$39/350*'P_L Workings'!J37*'P_L Workings'!J100</f>
        <v>0</v>
      </c>
      <c r="K117" s="25">
        <f>'P_L Standard'!$D$39/350*'P_L Workings'!K37*'P_L Workings'!K100</f>
        <v>0</v>
      </c>
      <c r="L117" s="25">
        <f>'P_L Standard'!$D$39/350*'P_L Workings'!L37*'P_L Workings'!L100</f>
        <v>0</v>
      </c>
      <c r="M117" s="25">
        <f>'P_L Standard'!$D$39/350*'P_L Workings'!M37*'P_L Workings'!M100</f>
        <v>0</v>
      </c>
      <c r="N117" s="25">
        <f>'P_L Standard'!$D$39/350*'P_L Workings'!N37*'P_L Workings'!N100</f>
        <v>0</v>
      </c>
      <c r="O117" s="25">
        <f>'P_L Standard'!$D$39/350*'P_L Workings'!O37*'P_L Workings'!O100</f>
        <v>0</v>
      </c>
      <c r="P117" s="25">
        <f>'P_L Standard'!$D$39/350*'P_L Workings'!P37*'P_L Workings'!P100</f>
        <v>0</v>
      </c>
      <c r="Q117" s="25">
        <f>'P_L Standard'!$D$39/350*'P_L Workings'!Q37*'P_L Workings'!Q100</f>
        <v>0</v>
      </c>
      <c r="R117" s="25">
        <f>'P_L Standard'!$D$39/350*'P_L Workings'!R37*'P_L Workings'!R100</f>
        <v>0</v>
      </c>
      <c r="S117" s="25">
        <f>'P_L Standard'!$D$39/350*'P_L Workings'!S37*'P_L Workings'!S100</f>
        <v>0</v>
      </c>
      <c r="T117" s="25">
        <f>'P_L Standard'!$D$39/350*'P_L Workings'!T37*'P_L Workings'!T100</f>
        <v>0</v>
      </c>
      <c r="U117" s="25">
        <f>'P_L Standard'!$D$39/350*'P_L Workings'!U37*'P_L Workings'!U100</f>
        <v>0</v>
      </c>
      <c r="V117" s="25">
        <f>'P_L Standard'!$D$39/350*'P_L Workings'!V37*'P_L Workings'!V100</f>
        <v>0</v>
      </c>
      <c r="W117" s="25">
        <f>'P_L Standard'!$D$39/350*'P_L Workings'!W37*'P_L Workings'!W100</f>
        <v>0</v>
      </c>
      <c r="X117" s="25">
        <f>'P_L Standard'!$D$39/350*'P_L Workings'!X37*'P_L Workings'!X100</f>
        <v>0</v>
      </c>
      <c r="Y117" s="25">
        <f>'P_L Standard'!$D$39/350*'P_L Workings'!Y37*'P_L Workings'!Y100</f>
        <v>0</v>
      </c>
      <c r="Z117" s="25">
        <f>'P_L Standard'!$D$39/350*'P_L Workings'!Z37*'P_L Workings'!Z100</f>
        <v>0</v>
      </c>
      <c r="AA117" s="25">
        <f>'P_L Standard'!$D$39/350*'P_L Workings'!AA37*'P_L Workings'!AA100</f>
        <v>0</v>
      </c>
      <c r="AB117" s="25">
        <f>'P_L Standard'!$D$39/350*'P_L Workings'!AB37*'P_L Workings'!AB100</f>
        <v>0</v>
      </c>
      <c r="AC117" s="25">
        <f>'P_L Standard'!$D$39/350*'P_L Workings'!AC37*'P_L Workings'!AC100</f>
        <v>0</v>
      </c>
      <c r="AD117" s="25">
        <f>'P_L Standard'!$D$39/350*'P_L Workings'!AD37*'P_L Workings'!AD100</f>
        <v>0</v>
      </c>
      <c r="AE117" s="25">
        <f>'P_L Standard'!$D$39/350*'P_L Workings'!AE37*'P_L Workings'!AE100</f>
        <v>0</v>
      </c>
      <c r="AF117" s="25">
        <f>'P_L Standard'!$D$39/350*'P_L Workings'!AF37*'P_L Workings'!AF100</f>
        <v>0</v>
      </c>
      <c r="AG117" s="25">
        <f>'P_L Standard'!$D$39/350*'P_L Workings'!AG37*'P_L Workings'!AG100</f>
        <v>0</v>
      </c>
      <c r="AH117" s="25">
        <f>'P_L Standard'!$D$39/350*'P_L Workings'!AH37*'P_L Workings'!AH100</f>
        <v>0</v>
      </c>
      <c r="AI117" s="25">
        <f>'P_L Standard'!$D$39/350*'P_L Workings'!AI37*'P_L Workings'!AI100</f>
        <v>0</v>
      </c>
      <c r="AJ117" s="25">
        <f>'P_L Standard'!$D$39/350*'P_L Workings'!AJ37*'P_L Workings'!AJ100</f>
        <v>0</v>
      </c>
      <c r="AK117" s="25">
        <f>'P_L Standard'!$D$39/350*'P_L Workings'!AK37*'P_L Workings'!AK100</f>
        <v>0</v>
      </c>
      <c r="AL117" s="25">
        <f>'P_L Standard'!$D$39/350*'P_L Workings'!AL37*'P_L Workings'!AL100</f>
        <v>0</v>
      </c>
      <c r="AM117" s="25">
        <f>'P_L Standard'!$D$39/350*'P_L Workings'!AM37*'P_L Workings'!AM100</f>
        <v>0</v>
      </c>
      <c r="AN117" s="25">
        <f>'P_L Standard'!$D$39/350*'P_L Workings'!AN37*'P_L Workings'!AN100</f>
        <v>0</v>
      </c>
      <c r="AO117" s="25">
        <f>'P_L Standard'!$D$39/350*'P_L Workings'!AO37*'P_L Workings'!AO100</f>
        <v>0</v>
      </c>
      <c r="AP117" s="25">
        <f>'P_L Standard'!$D$39/350*'P_L Workings'!AP37*'P_L Workings'!AP100</f>
        <v>0</v>
      </c>
      <c r="AQ117" s="25">
        <f>'P_L Standard'!$D$39/350*'P_L Workings'!AQ37*'P_L Workings'!AQ100</f>
        <v>0</v>
      </c>
      <c r="AR117" s="25">
        <f>'P_L Standard'!$D$39/350*'P_L Workings'!AR37*'P_L Workings'!AR100</f>
        <v>0</v>
      </c>
      <c r="AS117" s="25">
        <f>'P_L Standard'!$D$39/350*'P_L Workings'!AS37*'P_L Workings'!AS100</f>
        <v>0</v>
      </c>
      <c r="AT117" s="25">
        <f>'P_L Standard'!$D$39/350*'P_L Workings'!AT37*'P_L Workings'!AT100</f>
        <v>0</v>
      </c>
      <c r="AU117" s="25">
        <f>'P_L Standard'!$D$39/350*'P_L Workings'!AU37*'P_L Workings'!AU100</f>
        <v>0</v>
      </c>
      <c r="AV117" s="25">
        <f>'P_L Standard'!$D$39/350*'P_L Workings'!AV37*'P_L Workings'!AV100</f>
        <v>0</v>
      </c>
      <c r="AW117" s="25">
        <f>'P_L Standard'!$D$39/350*'P_L Workings'!AW37*'P_L Workings'!AW100</f>
        <v>0</v>
      </c>
      <c r="AX117" s="25">
        <f>'P_L Standard'!$D$39/350*'P_L Workings'!AX37*'P_L Workings'!AX100</f>
        <v>0</v>
      </c>
      <c r="AY117" s="25">
        <f>'P_L Standard'!$D$39/350*'P_L Workings'!AY37*'P_L Workings'!AY100</f>
        <v>0</v>
      </c>
      <c r="AZ117" s="25">
        <f>'P_L Standard'!$D$39/350*'P_L Workings'!AZ37*'P_L Workings'!AZ100</f>
        <v>0</v>
      </c>
      <c r="BA117" s="25">
        <f>'P_L Standard'!$D$39/350*'P_L Workings'!BA37*'P_L Workings'!BA100</f>
        <v>0</v>
      </c>
    </row>
    <row r="118" spans="2:53" ht="13" x14ac:dyDescent="0.3">
      <c r="B118" s="2" t="s">
        <v>111</v>
      </c>
      <c r="C118" s="35">
        <f t="shared" ref="C118:AH118" si="52">SUM(C116:C117)</f>
        <v>0</v>
      </c>
      <c r="D118" s="35">
        <f t="shared" si="52"/>
        <v>0</v>
      </c>
      <c r="E118" s="35">
        <f t="shared" si="52"/>
        <v>27000</v>
      </c>
      <c r="F118" s="35">
        <f t="shared" si="52"/>
        <v>111857.14285714287</v>
      </c>
      <c r="G118" s="35">
        <f t="shared" si="52"/>
        <v>119571.42857142858</v>
      </c>
      <c r="H118" s="35">
        <f t="shared" si="52"/>
        <v>115714.28571428572</v>
      </c>
      <c r="I118" s="35">
        <f t="shared" si="52"/>
        <v>119571.42857142858</v>
      </c>
      <c r="J118" s="35">
        <f t="shared" si="52"/>
        <v>119571.42857142858</v>
      </c>
      <c r="K118" s="35">
        <f t="shared" si="52"/>
        <v>115714.28571428572</v>
      </c>
      <c r="L118" s="35">
        <f t="shared" si="52"/>
        <v>119571.42857142858</v>
      </c>
      <c r="M118" s="35">
        <f t="shared" si="52"/>
        <v>111857.14285714287</v>
      </c>
      <c r="N118" s="35">
        <f t="shared" si="52"/>
        <v>119571.42857142858</v>
      </c>
      <c r="O118" s="35">
        <f t="shared" si="52"/>
        <v>73285.71428571429</v>
      </c>
      <c r="P118" s="35">
        <f t="shared" si="52"/>
        <v>104142.85714285714</v>
      </c>
      <c r="Q118" s="35">
        <f t="shared" si="52"/>
        <v>119571.42857142858</v>
      </c>
      <c r="R118" s="35">
        <f t="shared" si="52"/>
        <v>111857.14285714287</v>
      </c>
      <c r="S118" s="35">
        <f t="shared" si="52"/>
        <v>119571.42857142858</v>
      </c>
      <c r="T118" s="35">
        <f t="shared" si="52"/>
        <v>115714.28571428572</v>
      </c>
      <c r="U118" s="35">
        <f t="shared" si="52"/>
        <v>119571.42857142858</v>
      </c>
      <c r="V118" s="35">
        <f t="shared" si="52"/>
        <v>119571.42857142858</v>
      </c>
      <c r="W118" s="35">
        <f t="shared" si="52"/>
        <v>115714.28571428572</v>
      </c>
      <c r="X118" s="35">
        <f t="shared" si="52"/>
        <v>119571.42857142858</v>
      </c>
      <c r="Y118" s="35">
        <f t="shared" si="52"/>
        <v>111857.14285714287</v>
      </c>
      <c r="Z118" s="35">
        <f t="shared" si="52"/>
        <v>119571.42857142858</v>
      </c>
      <c r="AA118" s="35">
        <f t="shared" si="52"/>
        <v>69428.571428571435</v>
      </c>
      <c r="AB118" s="35">
        <f t="shared" si="52"/>
        <v>108000</v>
      </c>
      <c r="AC118" s="35">
        <f t="shared" si="52"/>
        <v>119571.42857142858</v>
      </c>
      <c r="AD118" s="35">
        <f t="shared" si="52"/>
        <v>111857.14285714287</v>
      </c>
      <c r="AE118" s="35">
        <f t="shared" si="52"/>
        <v>119571.42857142858</v>
      </c>
      <c r="AF118" s="35">
        <f t="shared" si="52"/>
        <v>115714.28571428572</v>
      </c>
      <c r="AG118" s="35">
        <f t="shared" si="52"/>
        <v>119571.42857142858</v>
      </c>
      <c r="AH118" s="35">
        <f t="shared" si="52"/>
        <v>119571.42857142858</v>
      </c>
      <c r="AI118" s="35">
        <f t="shared" ref="AI118:BA118" si="53">SUM(AI116:AI117)</f>
        <v>115714.28571428572</v>
      </c>
      <c r="AJ118" s="35">
        <f t="shared" si="53"/>
        <v>119571.42857142858</v>
      </c>
      <c r="AK118" s="35">
        <f t="shared" si="53"/>
        <v>111857.14285714287</v>
      </c>
      <c r="AL118" s="35">
        <f t="shared" si="53"/>
        <v>119571.42857142858</v>
      </c>
      <c r="AM118" s="35">
        <f t="shared" si="53"/>
        <v>73285.71428571429</v>
      </c>
      <c r="AN118" s="35">
        <f t="shared" si="53"/>
        <v>104142.85714285714</v>
      </c>
      <c r="AO118" s="35">
        <f t="shared" si="53"/>
        <v>119571.42857142858</v>
      </c>
      <c r="AP118" s="35">
        <f t="shared" si="53"/>
        <v>111857.14285714287</v>
      </c>
      <c r="AQ118" s="35">
        <f t="shared" si="53"/>
        <v>119571.42857142858</v>
      </c>
      <c r="AR118" s="35">
        <f t="shared" si="53"/>
        <v>115714.28571428572</v>
      </c>
      <c r="AS118" s="35">
        <f t="shared" si="53"/>
        <v>119571.42857142858</v>
      </c>
      <c r="AT118" s="35">
        <f t="shared" si="53"/>
        <v>119571.42857142858</v>
      </c>
      <c r="AU118" s="35">
        <f t="shared" si="53"/>
        <v>115714.28571428572</v>
      </c>
      <c r="AV118" s="35">
        <f t="shared" si="53"/>
        <v>119571.42857142858</v>
      </c>
      <c r="AW118" s="35">
        <f t="shared" si="53"/>
        <v>111857.14285714287</v>
      </c>
      <c r="AX118" s="35">
        <f t="shared" si="53"/>
        <v>119571.42857142858</v>
      </c>
      <c r="AY118" s="35">
        <f t="shared" si="53"/>
        <v>73285.71428571429</v>
      </c>
      <c r="AZ118" s="35">
        <f t="shared" si="53"/>
        <v>104142.85714285714</v>
      </c>
      <c r="BA118" s="35">
        <f t="shared" si="53"/>
        <v>119571.42857142858</v>
      </c>
    </row>
    <row r="120" spans="2:53" ht="13" x14ac:dyDescent="0.3">
      <c r="B120" s="1" t="s">
        <v>32</v>
      </c>
      <c r="C120" s="46"/>
      <c r="D120" s="46"/>
      <c r="E120" s="46">
        <v>2500</v>
      </c>
      <c r="F120" s="46">
        <f>'P_L Standard'!$C$40/12</f>
        <v>5000</v>
      </c>
      <c r="G120" s="46">
        <f>'P_L Standard'!$C$40/12</f>
        <v>5000</v>
      </c>
      <c r="H120" s="46">
        <f>'P_L Standard'!$C$40/12</f>
        <v>5000</v>
      </c>
      <c r="I120" s="46">
        <f>'P_L Standard'!$C$40/12</f>
        <v>5000</v>
      </c>
      <c r="J120" s="46">
        <f>'P_L Standard'!$C$40/12</f>
        <v>5000</v>
      </c>
      <c r="K120" s="46">
        <f>'P_L Standard'!$C$40/12</f>
        <v>5000</v>
      </c>
      <c r="L120" s="46">
        <f>'P_L Standard'!$C$40/12</f>
        <v>5000</v>
      </c>
      <c r="M120" s="46">
        <f>'P_L Standard'!$C$40/12</f>
        <v>5000</v>
      </c>
      <c r="N120" s="46">
        <f>'P_L Standard'!$C$40/12</f>
        <v>5000</v>
      </c>
      <c r="O120" s="46">
        <f>'P_L Standard'!$C$40/12</f>
        <v>5000</v>
      </c>
      <c r="P120" s="46">
        <f>'P_L Standard'!$C$40/12</f>
        <v>5000</v>
      </c>
      <c r="Q120" s="46">
        <f>'P_L Standard'!$C$40/12</f>
        <v>5000</v>
      </c>
      <c r="R120" s="46">
        <f>'P_L Standard'!$C$40/12</f>
        <v>5000</v>
      </c>
      <c r="S120" s="46">
        <f>'P_L Standard'!$C$40/12</f>
        <v>5000</v>
      </c>
      <c r="T120" s="46">
        <f>'P_L Standard'!$C$40/12</f>
        <v>5000</v>
      </c>
      <c r="U120" s="46">
        <f>'P_L Standard'!$C$40/12</f>
        <v>5000</v>
      </c>
      <c r="V120" s="46">
        <f>'P_L Standard'!$C$40/12</f>
        <v>5000</v>
      </c>
      <c r="W120" s="46">
        <f>'P_L Standard'!$C$40/12</f>
        <v>5000</v>
      </c>
      <c r="X120" s="46">
        <f>'P_L Standard'!$C$40/12</f>
        <v>5000</v>
      </c>
      <c r="Y120" s="46">
        <f>'P_L Standard'!$C$40/12</f>
        <v>5000</v>
      </c>
      <c r="Z120" s="46">
        <f>'P_L Standard'!$C$40/12</f>
        <v>5000</v>
      </c>
      <c r="AA120" s="46">
        <f>'P_L Standard'!$C$40/12</f>
        <v>5000</v>
      </c>
      <c r="AB120" s="46">
        <f>'P_L Standard'!$C$40/12</f>
        <v>5000</v>
      </c>
      <c r="AC120" s="46">
        <f>'P_L Standard'!$C$40/12</f>
        <v>5000</v>
      </c>
      <c r="AD120" s="46">
        <f>'P_L Standard'!$C$40/12</f>
        <v>5000</v>
      </c>
      <c r="AE120" s="46">
        <f>'P_L Standard'!$C$40/12</f>
        <v>5000</v>
      </c>
      <c r="AF120" s="46">
        <f>'P_L Standard'!$C$40/12</f>
        <v>5000</v>
      </c>
      <c r="AG120" s="46">
        <f>'P_L Standard'!$C$40/12</f>
        <v>5000</v>
      </c>
      <c r="AH120" s="46">
        <f>'P_L Standard'!$C$40/12</f>
        <v>5000</v>
      </c>
      <c r="AI120" s="46">
        <f>'P_L Standard'!$C$40/12</f>
        <v>5000</v>
      </c>
      <c r="AJ120" s="46">
        <f>'P_L Standard'!$C$40/12</f>
        <v>5000</v>
      </c>
      <c r="AK120" s="46">
        <f>'P_L Standard'!$C$40/12</f>
        <v>5000</v>
      </c>
      <c r="AL120" s="46">
        <f>'P_L Standard'!$C$40/12</f>
        <v>5000</v>
      </c>
      <c r="AM120" s="46">
        <f>'P_L Standard'!$C$40/12</f>
        <v>5000</v>
      </c>
      <c r="AN120" s="46">
        <f>'P_L Standard'!$C$40/12</f>
        <v>5000</v>
      </c>
      <c r="AO120" s="46">
        <f>'P_L Standard'!$C$40/12</f>
        <v>5000</v>
      </c>
      <c r="AP120" s="46">
        <f>'P_L Standard'!$C$40/12</f>
        <v>5000</v>
      </c>
      <c r="AQ120" s="46">
        <f>'P_L Standard'!$C$40/12</f>
        <v>5000</v>
      </c>
      <c r="AR120" s="46">
        <f>'P_L Standard'!$C$40/12</f>
        <v>5000</v>
      </c>
      <c r="AS120" s="46">
        <f>'P_L Standard'!$C$40/12</f>
        <v>5000</v>
      </c>
      <c r="AT120" s="46">
        <f>'P_L Standard'!$C$40/12</f>
        <v>5000</v>
      </c>
      <c r="AU120" s="46">
        <f>'P_L Standard'!$C$40/12</f>
        <v>5000</v>
      </c>
      <c r="AV120" s="46">
        <f>'P_L Standard'!$C$40/12</f>
        <v>5000</v>
      </c>
      <c r="AW120" s="46">
        <f>'P_L Standard'!$C$40/12</f>
        <v>5000</v>
      </c>
      <c r="AX120" s="46">
        <f>'P_L Standard'!$C$40/12</f>
        <v>5000</v>
      </c>
      <c r="AY120" s="46">
        <f>'P_L Standard'!$C$40/12</f>
        <v>5000</v>
      </c>
      <c r="AZ120" s="46">
        <f>'P_L Standard'!$C$40/12</f>
        <v>5000</v>
      </c>
      <c r="BA120" s="46">
        <f>'P_L Standard'!$C$40/12</f>
        <v>5000</v>
      </c>
    </row>
    <row r="121" spans="2:53" ht="13" x14ac:dyDescent="0.3">
      <c r="B121" s="1" t="s">
        <v>33</v>
      </c>
      <c r="C121" s="46"/>
      <c r="D121" s="46"/>
      <c r="E121" s="46">
        <v>4000</v>
      </c>
      <c r="F121" s="46">
        <f>'P_L Standard'!$C$41/12</f>
        <v>8000</v>
      </c>
      <c r="G121" s="46">
        <f>'P_L Standard'!$C$41/12</f>
        <v>8000</v>
      </c>
      <c r="H121" s="46">
        <f>'P_L Standard'!$C$41/12</f>
        <v>8000</v>
      </c>
      <c r="I121" s="46">
        <f>'P_L Standard'!$C$41/12</f>
        <v>8000</v>
      </c>
      <c r="J121" s="46">
        <f>'P_L Standard'!$C$41/12</f>
        <v>8000</v>
      </c>
      <c r="K121" s="46">
        <f>'P_L Standard'!$C$41/12</f>
        <v>8000</v>
      </c>
      <c r="L121" s="46">
        <f>'P_L Standard'!$C$41/12</f>
        <v>8000</v>
      </c>
      <c r="M121" s="46">
        <f>'P_L Standard'!$C$41/12</f>
        <v>8000</v>
      </c>
      <c r="N121" s="46">
        <f>'P_L Standard'!$C$41/12</f>
        <v>8000</v>
      </c>
      <c r="O121" s="46">
        <f>'P_L Standard'!$C$41/12</f>
        <v>8000</v>
      </c>
      <c r="P121" s="46">
        <f>'P_L Standard'!$C$41/12</f>
        <v>8000</v>
      </c>
      <c r="Q121" s="46">
        <f>'P_L Standard'!$C$41/12</f>
        <v>8000</v>
      </c>
      <c r="R121" s="46">
        <f>'P_L Standard'!$C$41/12</f>
        <v>8000</v>
      </c>
      <c r="S121" s="46">
        <f>'P_L Standard'!$C$41/12</f>
        <v>8000</v>
      </c>
      <c r="T121" s="46">
        <f>'P_L Standard'!$C$41/12</f>
        <v>8000</v>
      </c>
      <c r="U121" s="46">
        <f>'P_L Standard'!$C$41/12</f>
        <v>8000</v>
      </c>
      <c r="V121" s="46">
        <f>'P_L Standard'!$C$41/12</f>
        <v>8000</v>
      </c>
      <c r="W121" s="46">
        <f>'P_L Standard'!$C$41/12</f>
        <v>8000</v>
      </c>
      <c r="X121" s="46">
        <f>'P_L Standard'!$C$41/12</f>
        <v>8000</v>
      </c>
      <c r="Y121" s="46">
        <f>'P_L Standard'!$C$41/12</f>
        <v>8000</v>
      </c>
      <c r="Z121" s="46">
        <f>'P_L Standard'!$C$41/12</f>
        <v>8000</v>
      </c>
      <c r="AA121" s="46">
        <f>'P_L Standard'!$C$41/12</f>
        <v>8000</v>
      </c>
      <c r="AB121" s="46">
        <f>'P_L Standard'!$C$41/12</f>
        <v>8000</v>
      </c>
      <c r="AC121" s="46">
        <f>'P_L Standard'!$C$41/12</f>
        <v>8000</v>
      </c>
      <c r="AD121" s="46">
        <f>'P_L Standard'!$C$41/12</f>
        <v>8000</v>
      </c>
      <c r="AE121" s="46">
        <f>'P_L Standard'!$C$41/12</f>
        <v>8000</v>
      </c>
      <c r="AF121" s="46">
        <f>'P_L Standard'!$C$41/12</f>
        <v>8000</v>
      </c>
      <c r="AG121" s="46">
        <f>'P_L Standard'!$C$41/12</f>
        <v>8000</v>
      </c>
      <c r="AH121" s="46">
        <f>'P_L Standard'!$C$41/12</f>
        <v>8000</v>
      </c>
      <c r="AI121" s="46">
        <f>'P_L Standard'!$C$41/12</f>
        <v>8000</v>
      </c>
      <c r="AJ121" s="46">
        <f>'P_L Standard'!$C$41/12</f>
        <v>8000</v>
      </c>
      <c r="AK121" s="46">
        <f>'P_L Standard'!$C$41/12</f>
        <v>8000</v>
      </c>
      <c r="AL121" s="46">
        <f>'P_L Standard'!$C$41/12</f>
        <v>8000</v>
      </c>
      <c r="AM121" s="46">
        <f>'P_L Standard'!$C$41/12</f>
        <v>8000</v>
      </c>
      <c r="AN121" s="46">
        <f>'P_L Standard'!$C$41/12</f>
        <v>8000</v>
      </c>
      <c r="AO121" s="46">
        <f>'P_L Standard'!$C$41/12</f>
        <v>8000</v>
      </c>
      <c r="AP121" s="46">
        <f>'P_L Standard'!$C$41/12</f>
        <v>8000</v>
      </c>
      <c r="AQ121" s="46">
        <f>'P_L Standard'!$C$41/12</f>
        <v>8000</v>
      </c>
      <c r="AR121" s="46">
        <f>'P_L Standard'!$C$41/12</f>
        <v>8000</v>
      </c>
      <c r="AS121" s="46">
        <f>'P_L Standard'!$C$41/12</f>
        <v>8000</v>
      </c>
      <c r="AT121" s="46">
        <f>'P_L Standard'!$C$41/12</f>
        <v>8000</v>
      </c>
      <c r="AU121" s="46">
        <f>'P_L Standard'!$C$41/12</f>
        <v>8000</v>
      </c>
      <c r="AV121" s="46">
        <f>'P_L Standard'!$C$41/12</f>
        <v>8000</v>
      </c>
      <c r="AW121" s="46">
        <f>'P_L Standard'!$C$41/12</f>
        <v>8000</v>
      </c>
      <c r="AX121" s="46">
        <f>'P_L Standard'!$C$41/12</f>
        <v>8000</v>
      </c>
      <c r="AY121" s="46">
        <f>'P_L Standard'!$C$41/12</f>
        <v>8000</v>
      </c>
      <c r="AZ121" s="46">
        <f>'P_L Standard'!$C$41/12</f>
        <v>8000</v>
      </c>
      <c r="BA121" s="46">
        <f>'P_L Standard'!$C$41/12</f>
        <v>8000</v>
      </c>
    </row>
    <row r="122" spans="2:53" x14ac:dyDescent="0.25">
      <c r="B122" s="1" t="s">
        <v>34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</row>
    <row r="123" spans="2:53" x14ac:dyDescent="0.25">
      <c r="B123" s="1" t="s">
        <v>96</v>
      </c>
      <c r="C123" s="25">
        <f>'P_L Standard'!$C$42/350*'P_L Workings'!C37</f>
        <v>0</v>
      </c>
      <c r="D123" s="25">
        <f>'P_L Standard'!$C$42/350*'P_L Workings'!D37</f>
        <v>0</v>
      </c>
      <c r="E123" s="25">
        <f>'P_L Standard'!$C$42/350*'P_L Workings'!E37</f>
        <v>13000</v>
      </c>
      <c r="F123" s="25">
        <f>'P_L Standard'!$C$42/350*'P_L Workings'!F37</f>
        <v>53857.142857142855</v>
      </c>
      <c r="G123" s="25">
        <f>'P_L Standard'!$C$42/350*'P_L Workings'!G37</f>
        <v>57571.428571428572</v>
      </c>
      <c r="H123" s="25">
        <f>'P_L Standard'!$C$42/350*'P_L Workings'!H37</f>
        <v>55714.28571428571</v>
      </c>
      <c r="I123" s="25">
        <f>'P_L Standard'!$C$42/350*'P_L Workings'!I37</f>
        <v>57571.428571428572</v>
      </c>
      <c r="J123" s="25">
        <f>'P_L Standard'!$C$42/350*'P_L Workings'!J37</f>
        <v>57571.428571428572</v>
      </c>
      <c r="K123" s="25">
        <f>'P_L Standard'!$C$42/350*'P_L Workings'!K37</f>
        <v>55714.28571428571</v>
      </c>
      <c r="L123" s="25">
        <f>'P_L Standard'!$C$42/350*'P_L Workings'!L37</f>
        <v>57571.428571428572</v>
      </c>
      <c r="M123" s="25">
        <f>'P_L Standard'!$C$42/350*'P_L Workings'!M37</f>
        <v>53857.142857142855</v>
      </c>
      <c r="N123" s="25">
        <f>'P_L Standard'!$C$42/350*'P_L Workings'!N37</f>
        <v>57571.428571428572</v>
      </c>
      <c r="O123" s="25">
        <f>'P_L Standard'!$C$42/350*'P_L Workings'!O37</f>
        <v>35285.714285714283</v>
      </c>
      <c r="P123" s="25">
        <f>'P_L Standard'!$C$42/350*'P_L Workings'!P37</f>
        <v>50142.857142857145</v>
      </c>
      <c r="Q123" s="25">
        <f>'P_L Standard'!$C$42/350*'P_L Workings'!Q37</f>
        <v>57571.428571428572</v>
      </c>
      <c r="R123" s="25">
        <f>'P_L Standard'!$C$42/350*'P_L Workings'!R37</f>
        <v>53857.142857142855</v>
      </c>
      <c r="S123" s="25">
        <f>'P_L Standard'!$C$42/350*'P_L Workings'!S37</f>
        <v>57571.428571428572</v>
      </c>
      <c r="T123" s="25">
        <f>'P_L Standard'!$C$42/350*'P_L Workings'!T37</f>
        <v>55714.28571428571</v>
      </c>
      <c r="U123" s="25">
        <f>'P_L Standard'!$C$42/350*'P_L Workings'!U37</f>
        <v>57571.428571428572</v>
      </c>
      <c r="V123" s="25">
        <f>'P_L Standard'!$C$42/350*'P_L Workings'!V37</f>
        <v>57571.428571428572</v>
      </c>
      <c r="W123" s="25">
        <f>'P_L Standard'!$C$42/350*'P_L Workings'!W37</f>
        <v>55714.28571428571</v>
      </c>
      <c r="X123" s="25">
        <f>'P_L Standard'!$C$42/350*'P_L Workings'!X37</f>
        <v>57571.428571428572</v>
      </c>
      <c r="Y123" s="25">
        <f>'P_L Standard'!$C$42/350*'P_L Workings'!Y37</f>
        <v>53857.142857142855</v>
      </c>
      <c r="Z123" s="25">
        <f>'P_L Standard'!$C$42/350*'P_L Workings'!Z37</f>
        <v>57571.428571428572</v>
      </c>
      <c r="AA123" s="25">
        <f>'P_L Standard'!$C$42/350*'P_L Workings'!AA37</f>
        <v>33428.571428571428</v>
      </c>
      <c r="AB123" s="25">
        <f>'P_L Standard'!$C$42/350*'P_L Workings'!AB37</f>
        <v>52000</v>
      </c>
      <c r="AC123" s="25">
        <f>'P_L Standard'!$C$42/350*'P_L Workings'!AC37</f>
        <v>57571.428571428572</v>
      </c>
      <c r="AD123" s="25">
        <f>'P_L Standard'!$C$42/350*'P_L Workings'!AD37</f>
        <v>53857.142857142855</v>
      </c>
      <c r="AE123" s="25">
        <f>'P_L Standard'!$C$42/350*'P_L Workings'!AE37</f>
        <v>57571.428571428572</v>
      </c>
      <c r="AF123" s="25">
        <f>'P_L Standard'!$C$42/350*'P_L Workings'!AF37</f>
        <v>55714.28571428571</v>
      </c>
      <c r="AG123" s="25">
        <f>'P_L Standard'!$C$42/350*'P_L Workings'!AG37</f>
        <v>57571.428571428572</v>
      </c>
      <c r="AH123" s="25">
        <f>'P_L Standard'!$C$42/350*'P_L Workings'!AH37</f>
        <v>57571.428571428572</v>
      </c>
      <c r="AI123" s="25">
        <f>'P_L Standard'!$C$42/350*'P_L Workings'!AI37</f>
        <v>55714.28571428571</v>
      </c>
      <c r="AJ123" s="25">
        <f>'P_L Standard'!$C$42/350*'P_L Workings'!AJ37</f>
        <v>57571.428571428572</v>
      </c>
      <c r="AK123" s="25">
        <f>'P_L Standard'!$C$42/350*'P_L Workings'!AK37</f>
        <v>53857.142857142855</v>
      </c>
      <c r="AL123" s="25">
        <f>'P_L Standard'!$C$42/350*'P_L Workings'!AL37</f>
        <v>57571.428571428572</v>
      </c>
      <c r="AM123" s="25">
        <f>'P_L Standard'!$C$42/350*'P_L Workings'!AM37</f>
        <v>35285.714285714283</v>
      </c>
      <c r="AN123" s="25">
        <f>'P_L Standard'!$C$42/350*'P_L Workings'!AN37</f>
        <v>50142.857142857145</v>
      </c>
      <c r="AO123" s="25">
        <f>'P_L Standard'!$C$42/350*'P_L Workings'!AO37</f>
        <v>57571.428571428572</v>
      </c>
      <c r="AP123" s="25">
        <f>'P_L Standard'!$C$42/350*'P_L Workings'!AP37</f>
        <v>53857.142857142855</v>
      </c>
      <c r="AQ123" s="25">
        <f>'P_L Standard'!$C$42/350*'P_L Workings'!AQ37</f>
        <v>57571.428571428572</v>
      </c>
      <c r="AR123" s="25">
        <f>'P_L Standard'!$C$42/350*'P_L Workings'!AR37</f>
        <v>55714.28571428571</v>
      </c>
      <c r="AS123" s="25">
        <f>'P_L Standard'!$C$42/350*'P_L Workings'!AS37</f>
        <v>57571.428571428572</v>
      </c>
      <c r="AT123" s="25">
        <f>'P_L Standard'!$C$42/350*'P_L Workings'!AT37</f>
        <v>57571.428571428572</v>
      </c>
      <c r="AU123" s="25">
        <f>'P_L Standard'!$C$42/350*'P_L Workings'!AU37</f>
        <v>55714.28571428571</v>
      </c>
      <c r="AV123" s="25">
        <f>'P_L Standard'!$C$42/350*'P_L Workings'!AV37</f>
        <v>57571.428571428572</v>
      </c>
      <c r="AW123" s="25">
        <f>'P_L Standard'!$C$42/350*'P_L Workings'!AW37</f>
        <v>53857.142857142855</v>
      </c>
      <c r="AX123" s="25">
        <f>'P_L Standard'!$C$42/350*'P_L Workings'!AX37</f>
        <v>57571.428571428572</v>
      </c>
      <c r="AY123" s="25">
        <f>'P_L Standard'!$C$42/350*'P_L Workings'!AY37</f>
        <v>35285.714285714283</v>
      </c>
      <c r="AZ123" s="25">
        <f>'P_L Standard'!$C$42/350*'P_L Workings'!AZ37</f>
        <v>50142.857142857145</v>
      </c>
      <c r="BA123" s="25">
        <f>'P_L Standard'!$C$42/350*'P_L Workings'!BA37</f>
        <v>57571.428571428572</v>
      </c>
    </row>
    <row r="124" spans="2:53" x14ac:dyDescent="0.25">
      <c r="B124" s="1" t="s">
        <v>97</v>
      </c>
      <c r="C124" s="25">
        <f>'P_L Standard'!$D$42/350*'P_L Workings'!C37*'P_L Workings'!C100</f>
        <v>0</v>
      </c>
      <c r="D124" s="25">
        <f>'P_L Standard'!$D$42/350*'P_L Workings'!D37*'P_L Workings'!D100</f>
        <v>0</v>
      </c>
      <c r="E124" s="25">
        <f>'P_L Standard'!$D$42/350*'P_L Workings'!E37*'P_L Workings'!E100</f>
        <v>0</v>
      </c>
      <c r="F124" s="25">
        <f>'P_L Standard'!$D$42/350*'P_L Workings'!F37*'P_L Workings'!F100</f>
        <v>0</v>
      </c>
      <c r="G124" s="25">
        <f>'P_L Standard'!$D$42/350*'P_L Workings'!G37*'P_L Workings'!G100</f>
        <v>0</v>
      </c>
      <c r="H124" s="25">
        <f>'P_L Standard'!$D$42/350*'P_L Workings'!H37*'P_L Workings'!H100</f>
        <v>0</v>
      </c>
      <c r="I124" s="25">
        <f>'P_L Standard'!$D$42/350*'P_L Workings'!I37*'P_L Workings'!I100</f>
        <v>0</v>
      </c>
      <c r="J124" s="25">
        <f>'P_L Standard'!$D$42/350*'P_L Workings'!J37*'P_L Workings'!J100</f>
        <v>0</v>
      </c>
      <c r="K124" s="25">
        <f>'P_L Standard'!$D$42/350*'P_L Workings'!K37*'P_L Workings'!K100</f>
        <v>0</v>
      </c>
      <c r="L124" s="25">
        <f>'P_L Standard'!$D$42/350*'P_L Workings'!L37*'P_L Workings'!L100</f>
        <v>0</v>
      </c>
      <c r="M124" s="25">
        <f>'P_L Standard'!$D$42/350*'P_L Workings'!M37*'P_L Workings'!M100</f>
        <v>0</v>
      </c>
      <c r="N124" s="25">
        <f>'P_L Standard'!$D$42/350*'P_L Workings'!N37*'P_L Workings'!N100</f>
        <v>0</v>
      </c>
      <c r="O124" s="25">
        <f>'P_L Standard'!$D$42/350*'P_L Workings'!O37*'P_L Workings'!O100</f>
        <v>0</v>
      </c>
      <c r="P124" s="25">
        <f>'P_L Standard'!$D$42/350*'P_L Workings'!P37*'P_L Workings'!P100</f>
        <v>0</v>
      </c>
      <c r="Q124" s="25">
        <f>'P_L Standard'!$D$42/350*'P_L Workings'!Q37*'P_L Workings'!Q100</f>
        <v>0</v>
      </c>
      <c r="R124" s="25">
        <f>'P_L Standard'!$D$42/350*'P_L Workings'!R37*'P_L Workings'!R100</f>
        <v>0</v>
      </c>
      <c r="S124" s="25">
        <f>'P_L Standard'!$D$42/350*'P_L Workings'!S37*'P_L Workings'!S100</f>
        <v>0</v>
      </c>
      <c r="T124" s="25">
        <f>'P_L Standard'!$D$42/350*'P_L Workings'!T37*'P_L Workings'!T100</f>
        <v>0</v>
      </c>
      <c r="U124" s="25">
        <f>'P_L Standard'!$D$42/350*'P_L Workings'!U37*'P_L Workings'!U100</f>
        <v>0</v>
      </c>
      <c r="V124" s="25">
        <f>'P_L Standard'!$D$42/350*'P_L Workings'!V37*'P_L Workings'!V100</f>
        <v>0</v>
      </c>
      <c r="W124" s="25">
        <f>'P_L Standard'!$D$42/350*'P_L Workings'!W37*'P_L Workings'!W100</f>
        <v>0</v>
      </c>
      <c r="X124" s="25">
        <f>'P_L Standard'!$D$42/350*'P_L Workings'!X37*'P_L Workings'!X100</f>
        <v>0</v>
      </c>
      <c r="Y124" s="25">
        <f>'P_L Standard'!$D$42/350*'P_L Workings'!Y37*'P_L Workings'!Y100</f>
        <v>0</v>
      </c>
      <c r="Z124" s="25">
        <f>'P_L Standard'!$D$42/350*'P_L Workings'!Z37*'P_L Workings'!Z100</f>
        <v>0</v>
      </c>
      <c r="AA124" s="25">
        <f>'P_L Standard'!$D$42/350*'P_L Workings'!AA37*'P_L Workings'!AA100</f>
        <v>0</v>
      </c>
      <c r="AB124" s="25">
        <f>'P_L Standard'!$D$42/350*'P_L Workings'!AB37*'P_L Workings'!AB100</f>
        <v>0</v>
      </c>
      <c r="AC124" s="25">
        <f>'P_L Standard'!$D$42/350*'P_L Workings'!AC37*'P_L Workings'!AC100</f>
        <v>0</v>
      </c>
      <c r="AD124" s="25">
        <f>'P_L Standard'!$D$42/350*'P_L Workings'!AD37*'P_L Workings'!AD100</f>
        <v>0</v>
      </c>
      <c r="AE124" s="25">
        <f>'P_L Standard'!$D$42/350*'P_L Workings'!AE37*'P_L Workings'!AE100</f>
        <v>0</v>
      </c>
      <c r="AF124" s="25">
        <f>'P_L Standard'!$D$42/350*'P_L Workings'!AF37*'P_L Workings'!AF100</f>
        <v>0</v>
      </c>
      <c r="AG124" s="25">
        <f>'P_L Standard'!$D$42/350*'P_L Workings'!AG37*'P_L Workings'!AG100</f>
        <v>0</v>
      </c>
      <c r="AH124" s="25">
        <f>'P_L Standard'!$D$42/350*'P_L Workings'!AH37*'P_L Workings'!AH100</f>
        <v>0</v>
      </c>
      <c r="AI124" s="25">
        <f>'P_L Standard'!$D$42/350*'P_L Workings'!AI37*'P_L Workings'!AI100</f>
        <v>0</v>
      </c>
      <c r="AJ124" s="25">
        <f>'P_L Standard'!$D$42/350*'P_L Workings'!AJ37*'P_L Workings'!AJ100</f>
        <v>0</v>
      </c>
      <c r="AK124" s="25">
        <f>'P_L Standard'!$D$42/350*'P_L Workings'!AK37*'P_L Workings'!AK100</f>
        <v>0</v>
      </c>
      <c r="AL124" s="25">
        <f>'P_L Standard'!$D$42/350*'P_L Workings'!AL37*'P_L Workings'!AL100</f>
        <v>0</v>
      </c>
      <c r="AM124" s="25">
        <f>'P_L Standard'!$D$42/350*'P_L Workings'!AM37*'P_L Workings'!AM100</f>
        <v>0</v>
      </c>
      <c r="AN124" s="25">
        <f>'P_L Standard'!$D$42/350*'P_L Workings'!AN37*'P_L Workings'!AN100</f>
        <v>0</v>
      </c>
      <c r="AO124" s="25">
        <f>'P_L Standard'!$D$42/350*'P_L Workings'!AO37*'P_L Workings'!AO100</f>
        <v>0</v>
      </c>
      <c r="AP124" s="25">
        <f>'P_L Standard'!$D$42/350*'P_L Workings'!AP37*'P_L Workings'!AP100</f>
        <v>0</v>
      </c>
      <c r="AQ124" s="25">
        <f>'P_L Standard'!$D$42/350*'P_L Workings'!AQ37*'P_L Workings'!AQ100</f>
        <v>0</v>
      </c>
      <c r="AR124" s="25">
        <f>'P_L Standard'!$D$42/350*'P_L Workings'!AR37*'P_L Workings'!AR100</f>
        <v>0</v>
      </c>
      <c r="AS124" s="25">
        <f>'P_L Standard'!$D$42/350*'P_L Workings'!AS37*'P_L Workings'!AS100</f>
        <v>0</v>
      </c>
      <c r="AT124" s="25">
        <f>'P_L Standard'!$D$42/350*'P_L Workings'!AT37*'P_L Workings'!AT100</f>
        <v>0</v>
      </c>
      <c r="AU124" s="25">
        <f>'P_L Standard'!$D$42/350*'P_L Workings'!AU37*'P_L Workings'!AU100</f>
        <v>0</v>
      </c>
      <c r="AV124" s="25">
        <f>'P_L Standard'!$D$42/350*'P_L Workings'!AV37*'P_L Workings'!AV100</f>
        <v>0</v>
      </c>
      <c r="AW124" s="25">
        <f>'P_L Standard'!$D$42/350*'P_L Workings'!AW37*'P_L Workings'!AW100</f>
        <v>0</v>
      </c>
      <c r="AX124" s="25">
        <f>'P_L Standard'!$D$42/350*'P_L Workings'!AX37*'P_L Workings'!AX100</f>
        <v>0</v>
      </c>
      <c r="AY124" s="25">
        <f>'P_L Standard'!$D$42/350*'P_L Workings'!AY37*'P_L Workings'!AY100</f>
        <v>0</v>
      </c>
      <c r="AZ124" s="25">
        <f>'P_L Standard'!$D$42/350*'P_L Workings'!AZ37*'P_L Workings'!AZ100</f>
        <v>0</v>
      </c>
      <c r="BA124" s="25">
        <f>'P_L Standard'!$D$42/350*'P_L Workings'!BA37*'P_L Workings'!BA100</f>
        <v>0</v>
      </c>
    </row>
    <row r="125" spans="2:53" ht="13" x14ac:dyDescent="0.3">
      <c r="B125" s="2" t="s">
        <v>112</v>
      </c>
      <c r="C125" s="35">
        <f t="shared" ref="C125:AH125" si="54">SUM(C123:C124)</f>
        <v>0</v>
      </c>
      <c r="D125" s="35">
        <f t="shared" si="54"/>
        <v>0</v>
      </c>
      <c r="E125" s="35">
        <f t="shared" si="54"/>
        <v>13000</v>
      </c>
      <c r="F125" s="35">
        <f t="shared" si="54"/>
        <v>53857.142857142855</v>
      </c>
      <c r="G125" s="35">
        <f t="shared" si="54"/>
        <v>57571.428571428572</v>
      </c>
      <c r="H125" s="35">
        <f t="shared" si="54"/>
        <v>55714.28571428571</v>
      </c>
      <c r="I125" s="35">
        <f t="shared" si="54"/>
        <v>57571.428571428572</v>
      </c>
      <c r="J125" s="35">
        <f t="shared" si="54"/>
        <v>57571.428571428572</v>
      </c>
      <c r="K125" s="35">
        <f t="shared" si="54"/>
        <v>55714.28571428571</v>
      </c>
      <c r="L125" s="35">
        <f t="shared" si="54"/>
        <v>57571.428571428572</v>
      </c>
      <c r="M125" s="35">
        <f t="shared" si="54"/>
        <v>53857.142857142855</v>
      </c>
      <c r="N125" s="35">
        <f t="shared" si="54"/>
        <v>57571.428571428572</v>
      </c>
      <c r="O125" s="35">
        <f t="shared" si="54"/>
        <v>35285.714285714283</v>
      </c>
      <c r="P125" s="35">
        <f t="shared" si="54"/>
        <v>50142.857142857145</v>
      </c>
      <c r="Q125" s="35">
        <f t="shared" si="54"/>
        <v>57571.428571428572</v>
      </c>
      <c r="R125" s="35">
        <f t="shared" si="54"/>
        <v>53857.142857142855</v>
      </c>
      <c r="S125" s="35">
        <f t="shared" si="54"/>
        <v>57571.428571428572</v>
      </c>
      <c r="T125" s="35">
        <f t="shared" si="54"/>
        <v>55714.28571428571</v>
      </c>
      <c r="U125" s="35">
        <f t="shared" si="54"/>
        <v>57571.428571428572</v>
      </c>
      <c r="V125" s="35">
        <f t="shared" si="54"/>
        <v>57571.428571428572</v>
      </c>
      <c r="W125" s="35">
        <f t="shared" si="54"/>
        <v>55714.28571428571</v>
      </c>
      <c r="X125" s="35">
        <f t="shared" si="54"/>
        <v>57571.428571428572</v>
      </c>
      <c r="Y125" s="35">
        <f t="shared" si="54"/>
        <v>53857.142857142855</v>
      </c>
      <c r="Z125" s="35">
        <f t="shared" si="54"/>
        <v>57571.428571428572</v>
      </c>
      <c r="AA125" s="35">
        <f t="shared" si="54"/>
        <v>33428.571428571428</v>
      </c>
      <c r="AB125" s="35">
        <f t="shared" si="54"/>
        <v>52000</v>
      </c>
      <c r="AC125" s="35">
        <f t="shared" si="54"/>
        <v>57571.428571428572</v>
      </c>
      <c r="AD125" s="35">
        <f t="shared" si="54"/>
        <v>53857.142857142855</v>
      </c>
      <c r="AE125" s="35">
        <f t="shared" si="54"/>
        <v>57571.428571428572</v>
      </c>
      <c r="AF125" s="35">
        <f t="shared" si="54"/>
        <v>55714.28571428571</v>
      </c>
      <c r="AG125" s="35">
        <f t="shared" si="54"/>
        <v>57571.428571428572</v>
      </c>
      <c r="AH125" s="35">
        <f t="shared" si="54"/>
        <v>57571.428571428572</v>
      </c>
      <c r="AI125" s="35">
        <f t="shared" ref="AI125:BA125" si="55">SUM(AI123:AI124)</f>
        <v>55714.28571428571</v>
      </c>
      <c r="AJ125" s="35">
        <f t="shared" si="55"/>
        <v>57571.428571428572</v>
      </c>
      <c r="AK125" s="35">
        <f t="shared" si="55"/>
        <v>53857.142857142855</v>
      </c>
      <c r="AL125" s="35">
        <f t="shared" si="55"/>
        <v>57571.428571428572</v>
      </c>
      <c r="AM125" s="35">
        <f t="shared" si="55"/>
        <v>35285.714285714283</v>
      </c>
      <c r="AN125" s="35">
        <f t="shared" si="55"/>
        <v>50142.857142857145</v>
      </c>
      <c r="AO125" s="35">
        <f t="shared" si="55"/>
        <v>57571.428571428572</v>
      </c>
      <c r="AP125" s="35">
        <f t="shared" si="55"/>
        <v>53857.142857142855</v>
      </c>
      <c r="AQ125" s="35">
        <f t="shared" si="55"/>
        <v>57571.428571428572</v>
      </c>
      <c r="AR125" s="35">
        <f t="shared" si="55"/>
        <v>55714.28571428571</v>
      </c>
      <c r="AS125" s="35">
        <f t="shared" si="55"/>
        <v>57571.428571428572</v>
      </c>
      <c r="AT125" s="35">
        <f t="shared" si="55"/>
        <v>57571.428571428572</v>
      </c>
      <c r="AU125" s="35">
        <f t="shared" si="55"/>
        <v>55714.28571428571</v>
      </c>
      <c r="AV125" s="35">
        <f t="shared" si="55"/>
        <v>57571.428571428572</v>
      </c>
      <c r="AW125" s="35">
        <f t="shared" si="55"/>
        <v>53857.142857142855</v>
      </c>
      <c r="AX125" s="35">
        <f t="shared" si="55"/>
        <v>57571.428571428572</v>
      </c>
      <c r="AY125" s="35">
        <f t="shared" si="55"/>
        <v>35285.714285714283</v>
      </c>
      <c r="AZ125" s="35">
        <f t="shared" si="55"/>
        <v>50142.857142857145</v>
      </c>
      <c r="BA125" s="35">
        <f t="shared" si="55"/>
        <v>57571.428571428572</v>
      </c>
    </row>
    <row r="126" spans="2:53" ht="13" x14ac:dyDescent="0.3">
      <c r="B126" s="2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</row>
    <row r="127" spans="2:53" x14ac:dyDescent="0.25">
      <c r="B127" s="1" t="s">
        <v>35</v>
      </c>
    </row>
    <row r="128" spans="2:53" x14ac:dyDescent="0.25">
      <c r="B128" s="1" t="s">
        <v>96</v>
      </c>
      <c r="C128" s="25">
        <f>'P_L Standard'!$C$43/350*'P_L Workings'!C37</f>
        <v>0</v>
      </c>
      <c r="D128" s="25">
        <f>'P_L Standard'!$C$43/350*'P_L Workings'!D37</f>
        <v>0</v>
      </c>
      <c r="E128" s="25">
        <f>'P_L Standard'!$C$43/350*'P_L Workings'!E37</f>
        <v>48000</v>
      </c>
      <c r="F128" s="25">
        <f>'P_L Standard'!$C$43/350*'P_L Workings'!F37</f>
        <v>198857.14285714284</v>
      </c>
      <c r="G128" s="25">
        <f>'P_L Standard'!$C$43/350*'P_L Workings'!G37</f>
        <v>212571.42857142855</v>
      </c>
      <c r="H128" s="25">
        <f>'P_L Standard'!$C$43/350*'P_L Workings'!H37</f>
        <v>205714.28571428571</v>
      </c>
      <c r="I128" s="25">
        <f>'P_L Standard'!$C$43/350*'P_L Workings'!I37</f>
        <v>212571.42857142855</v>
      </c>
      <c r="J128" s="25">
        <f>'P_L Standard'!$C$43/350*'P_L Workings'!J37</f>
        <v>212571.42857142855</v>
      </c>
      <c r="K128" s="25">
        <f>'P_L Standard'!$C$43/350*'P_L Workings'!K37</f>
        <v>205714.28571428571</v>
      </c>
      <c r="L128" s="25">
        <f>'P_L Standard'!$C$43/350*'P_L Workings'!L37</f>
        <v>212571.42857142855</v>
      </c>
      <c r="M128" s="25">
        <f>'P_L Standard'!$C$43/350*'P_L Workings'!M37</f>
        <v>198857.14285714284</v>
      </c>
      <c r="N128" s="25">
        <f>'P_L Standard'!$C$43/350*'P_L Workings'!N37</f>
        <v>212571.42857142855</v>
      </c>
      <c r="O128" s="25">
        <f>'P_L Standard'!$C$43/350*'P_L Workings'!O37</f>
        <v>130285.71428571428</v>
      </c>
      <c r="P128" s="25">
        <f>'P_L Standard'!$C$43/350*'P_L Workings'!P37</f>
        <v>185142.85714285713</v>
      </c>
      <c r="Q128" s="25">
        <f>'P_L Standard'!$C$43/350*'P_L Workings'!Q37</f>
        <v>212571.42857142855</v>
      </c>
      <c r="R128" s="25">
        <f>'P_L Standard'!$C$43/350*'P_L Workings'!R37</f>
        <v>198857.14285714284</v>
      </c>
      <c r="S128" s="25">
        <f>'P_L Standard'!$C$43/350*'P_L Workings'!S37</f>
        <v>212571.42857142855</v>
      </c>
      <c r="T128" s="25">
        <f>'P_L Standard'!$C$43/350*'P_L Workings'!T37</f>
        <v>205714.28571428571</v>
      </c>
      <c r="U128" s="25">
        <f>'P_L Standard'!$C$43/350*'P_L Workings'!U37</f>
        <v>212571.42857142855</v>
      </c>
      <c r="V128" s="25">
        <f>'P_L Standard'!$C$43/350*'P_L Workings'!V37</f>
        <v>212571.42857142855</v>
      </c>
      <c r="W128" s="25">
        <f>'P_L Standard'!$C$43/350*'P_L Workings'!W37</f>
        <v>205714.28571428571</v>
      </c>
      <c r="X128" s="25">
        <f>'P_L Standard'!$C$43/350*'P_L Workings'!X37</f>
        <v>212571.42857142855</v>
      </c>
      <c r="Y128" s="25">
        <f>'P_L Standard'!$C$43/350*'P_L Workings'!Y37</f>
        <v>198857.14285714284</v>
      </c>
      <c r="Z128" s="25">
        <f>'P_L Standard'!$C$43/350*'P_L Workings'!Z37</f>
        <v>212571.42857142855</v>
      </c>
      <c r="AA128" s="25">
        <f>'P_L Standard'!$C$43/350*'P_L Workings'!AA37</f>
        <v>123428.57142857142</v>
      </c>
      <c r="AB128" s="25">
        <f>'P_L Standard'!$C$43/350*'P_L Workings'!AB37</f>
        <v>192000</v>
      </c>
      <c r="AC128" s="25">
        <f>'P_L Standard'!$C$43/350*'P_L Workings'!AC37</f>
        <v>212571.42857142855</v>
      </c>
      <c r="AD128" s="25">
        <f>'P_L Standard'!$C$43/350*'P_L Workings'!AD37</f>
        <v>198857.14285714284</v>
      </c>
      <c r="AE128" s="25">
        <f>'P_L Standard'!$C$43/350*'P_L Workings'!AE37</f>
        <v>212571.42857142855</v>
      </c>
      <c r="AF128" s="25">
        <f>'P_L Standard'!$C$43/350*'P_L Workings'!AF37</f>
        <v>205714.28571428571</v>
      </c>
      <c r="AG128" s="25">
        <f>'P_L Standard'!$C$43/350*'P_L Workings'!AG37</f>
        <v>212571.42857142855</v>
      </c>
      <c r="AH128" s="25">
        <f>'P_L Standard'!$C$43/350*'P_L Workings'!AH37</f>
        <v>212571.42857142855</v>
      </c>
      <c r="AI128" s="25">
        <f>'P_L Standard'!$C$43/350*'P_L Workings'!AI37</f>
        <v>205714.28571428571</v>
      </c>
      <c r="AJ128" s="25">
        <f>'P_L Standard'!$C$43/350*'P_L Workings'!AJ37</f>
        <v>212571.42857142855</v>
      </c>
      <c r="AK128" s="25">
        <f>'P_L Standard'!$C$43/350*'P_L Workings'!AK37</f>
        <v>198857.14285714284</v>
      </c>
      <c r="AL128" s="25">
        <f>'P_L Standard'!$C$43/350*'P_L Workings'!AL37</f>
        <v>212571.42857142855</v>
      </c>
      <c r="AM128" s="25">
        <f>'P_L Standard'!$C$43/350*'P_L Workings'!AM37</f>
        <v>130285.71428571428</v>
      </c>
      <c r="AN128" s="25">
        <f>'P_L Standard'!$C$43/350*'P_L Workings'!AN37</f>
        <v>185142.85714285713</v>
      </c>
      <c r="AO128" s="25">
        <f>'P_L Standard'!$C$43/350*'P_L Workings'!AO37</f>
        <v>212571.42857142855</v>
      </c>
      <c r="AP128" s="25">
        <f>'P_L Standard'!$C$43/350*'P_L Workings'!AP37</f>
        <v>198857.14285714284</v>
      </c>
      <c r="AQ128" s="25">
        <f>'P_L Standard'!$C$43/350*'P_L Workings'!AQ37</f>
        <v>212571.42857142855</v>
      </c>
      <c r="AR128" s="25">
        <f>'P_L Standard'!$C$43/350*'P_L Workings'!AR37</f>
        <v>205714.28571428571</v>
      </c>
      <c r="AS128" s="25">
        <f>'P_L Standard'!$C$43/350*'P_L Workings'!AS37</f>
        <v>212571.42857142855</v>
      </c>
      <c r="AT128" s="25">
        <f>'P_L Standard'!$C$43/350*'P_L Workings'!AT37</f>
        <v>212571.42857142855</v>
      </c>
      <c r="AU128" s="25">
        <f>'P_L Standard'!$C$43/350*'P_L Workings'!AU37</f>
        <v>205714.28571428571</v>
      </c>
      <c r="AV128" s="25">
        <f>'P_L Standard'!$C$43/350*'P_L Workings'!AV37</f>
        <v>212571.42857142855</v>
      </c>
      <c r="AW128" s="25">
        <f>'P_L Standard'!$C$43/350*'P_L Workings'!AW37</f>
        <v>198857.14285714284</v>
      </c>
      <c r="AX128" s="25">
        <f>'P_L Standard'!$C$43/350*'P_L Workings'!AX37</f>
        <v>212571.42857142855</v>
      </c>
      <c r="AY128" s="25">
        <f>'P_L Standard'!$C$43/350*'P_L Workings'!AY37</f>
        <v>130285.71428571428</v>
      </c>
      <c r="AZ128" s="25">
        <f>'P_L Standard'!$C$43/350*'P_L Workings'!AZ37</f>
        <v>185142.85714285713</v>
      </c>
      <c r="BA128" s="25">
        <f>'P_L Standard'!$C$43/350*'P_L Workings'!BA37</f>
        <v>212571.42857142855</v>
      </c>
    </row>
    <row r="129" spans="1:53" x14ac:dyDescent="0.25">
      <c r="B129" s="1" t="s">
        <v>97</v>
      </c>
      <c r="C129" s="25">
        <f>'P_L Standard'!$D$43/350*'P_L Workings'!C37*'P_L Workings'!C100</f>
        <v>0</v>
      </c>
      <c r="D129" s="25">
        <f>'P_L Standard'!$D$43/350*'P_L Workings'!D37*'P_L Workings'!D100</f>
        <v>0</v>
      </c>
      <c r="E129" s="25">
        <f>'P_L Standard'!$D$43/350*'P_L Workings'!E37*'P_L Workings'!E100</f>
        <v>0</v>
      </c>
      <c r="F129" s="25">
        <f>'P_L Standard'!$D$43/350*'P_L Workings'!F37*'P_L Workings'!F100</f>
        <v>0</v>
      </c>
      <c r="G129" s="25">
        <f>'P_L Standard'!$D$43/350*'P_L Workings'!G37*'P_L Workings'!G100</f>
        <v>0</v>
      </c>
      <c r="H129" s="25">
        <f>'P_L Standard'!$D$43/350*'P_L Workings'!H37*'P_L Workings'!H100</f>
        <v>0</v>
      </c>
      <c r="I129" s="25">
        <f>'P_L Standard'!$D$43/350*'P_L Workings'!I37*'P_L Workings'!I100</f>
        <v>0</v>
      </c>
      <c r="J129" s="25">
        <f>'P_L Standard'!$D$43/350*'P_L Workings'!J37*'P_L Workings'!J100</f>
        <v>0</v>
      </c>
      <c r="K129" s="25">
        <f>'P_L Standard'!$D$43/350*'P_L Workings'!K37*'P_L Workings'!K100</f>
        <v>0</v>
      </c>
      <c r="L129" s="25">
        <f>'P_L Standard'!$D$43/350*'P_L Workings'!L37*'P_L Workings'!L100</f>
        <v>0</v>
      </c>
      <c r="M129" s="25">
        <f>'P_L Standard'!$D$43/350*'P_L Workings'!M37*'P_L Workings'!M100</f>
        <v>0</v>
      </c>
      <c r="N129" s="25">
        <f>'P_L Standard'!$D$43/350*'P_L Workings'!N37*'P_L Workings'!N100</f>
        <v>0</v>
      </c>
      <c r="O129" s="25">
        <f>'P_L Standard'!$D$43/350*'P_L Workings'!O37*'P_L Workings'!O100</f>
        <v>0</v>
      </c>
      <c r="P129" s="25">
        <f>'P_L Standard'!$D$43/350*'P_L Workings'!P37*'P_L Workings'!P100</f>
        <v>0</v>
      </c>
      <c r="Q129" s="25">
        <f>'P_L Standard'!$D$43/350*'P_L Workings'!Q37*'P_L Workings'!Q100</f>
        <v>0</v>
      </c>
      <c r="R129" s="25">
        <f>'P_L Standard'!$D$43/350*'P_L Workings'!R37*'P_L Workings'!R100</f>
        <v>0</v>
      </c>
      <c r="S129" s="25">
        <f>'P_L Standard'!$D$43/350*'P_L Workings'!S37*'P_L Workings'!S100</f>
        <v>0</v>
      </c>
      <c r="T129" s="25">
        <f>'P_L Standard'!$D$43/350*'P_L Workings'!T37*'P_L Workings'!T100</f>
        <v>0</v>
      </c>
      <c r="U129" s="25">
        <f>'P_L Standard'!$D$43/350*'P_L Workings'!U37*'P_L Workings'!U100</f>
        <v>0</v>
      </c>
      <c r="V129" s="25">
        <f>'P_L Standard'!$D$43/350*'P_L Workings'!V37*'P_L Workings'!V100</f>
        <v>0</v>
      </c>
      <c r="W129" s="25">
        <f>'P_L Standard'!$D$43/350*'P_L Workings'!W37*'P_L Workings'!W100</f>
        <v>0</v>
      </c>
      <c r="X129" s="25">
        <f>'P_L Standard'!$D$43/350*'P_L Workings'!X37*'P_L Workings'!X100</f>
        <v>0</v>
      </c>
      <c r="Y129" s="25">
        <f>'P_L Standard'!$D$43/350*'P_L Workings'!Y37*'P_L Workings'!Y100</f>
        <v>0</v>
      </c>
      <c r="Z129" s="25">
        <f>'P_L Standard'!$D$43/350*'P_L Workings'!Z37*'P_L Workings'!Z100</f>
        <v>0</v>
      </c>
      <c r="AA129" s="25">
        <f>'P_L Standard'!$D$43/350*'P_L Workings'!AA37*'P_L Workings'!AA100</f>
        <v>0</v>
      </c>
      <c r="AB129" s="25">
        <f>'P_L Standard'!$D$43/350*'P_L Workings'!AB37*'P_L Workings'!AB100</f>
        <v>0</v>
      </c>
      <c r="AC129" s="25">
        <f>'P_L Standard'!$D$43/350*'P_L Workings'!AC37*'P_L Workings'!AC100</f>
        <v>0</v>
      </c>
      <c r="AD129" s="25">
        <f>'P_L Standard'!$D$43/350*'P_L Workings'!AD37*'P_L Workings'!AD100</f>
        <v>0</v>
      </c>
      <c r="AE129" s="25">
        <f>'P_L Standard'!$D$43/350*'P_L Workings'!AE37*'P_L Workings'!AE100</f>
        <v>0</v>
      </c>
      <c r="AF129" s="25">
        <f>'P_L Standard'!$D$43/350*'P_L Workings'!AF37*'P_L Workings'!AF100</f>
        <v>0</v>
      </c>
      <c r="AG129" s="25">
        <f>'P_L Standard'!$D$43/350*'P_L Workings'!AG37*'P_L Workings'!AG100</f>
        <v>0</v>
      </c>
      <c r="AH129" s="25">
        <f>'P_L Standard'!$D$43/350*'P_L Workings'!AH37*'P_L Workings'!AH100</f>
        <v>0</v>
      </c>
      <c r="AI129" s="25">
        <f>'P_L Standard'!$D$43/350*'P_L Workings'!AI37*'P_L Workings'!AI100</f>
        <v>0</v>
      </c>
      <c r="AJ129" s="25">
        <f>'P_L Standard'!$D$43/350*'P_L Workings'!AJ37*'P_L Workings'!AJ100</f>
        <v>0</v>
      </c>
      <c r="AK129" s="25">
        <f>'P_L Standard'!$D$43/350*'P_L Workings'!AK37*'P_L Workings'!AK100</f>
        <v>0</v>
      </c>
      <c r="AL129" s="25">
        <f>'P_L Standard'!$D$43/350*'P_L Workings'!AL37*'P_L Workings'!AL100</f>
        <v>0</v>
      </c>
      <c r="AM129" s="25">
        <f>'P_L Standard'!$D$43/350*'P_L Workings'!AM37*'P_L Workings'!AM100</f>
        <v>0</v>
      </c>
      <c r="AN129" s="25">
        <f>'P_L Standard'!$D$43/350*'P_L Workings'!AN37*'P_L Workings'!AN100</f>
        <v>0</v>
      </c>
      <c r="AO129" s="25">
        <f>'P_L Standard'!$D$43/350*'P_L Workings'!AO37*'P_L Workings'!AO100</f>
        <v>0</v>
      </c>
      <c r="AP129" s="25">
        <f>'P_L Standard'!$D$43/350*'P_L Workings'!AP37*'P_L Workings'!AP100</f>
        <v>0</v>
      </c>
      <c r="AQ129" s="25">
        <f>'P_L Standard'!$D$43/350*'P_L Workings'!AQ37*'P_L Workings'!AQ100</f>
        <v>0</v>
      </c>
      <c r="AR129" s="25">
        <f>'P_L Standard'!$D$43/350*'P_L Workings'!AR37*'P_L Workings'!AR100</f>
        <v>0</v>
      </c>
      <c r="AS129" s="25">
        <f>'P_L Standard'!$D$43/350*'P_L Workings'!AS37*'P_L Workings'!AS100</f>
        <v>0</v>
      </c>
      <c r="AT129" s="25">
        <f>'P_L Standard'!$D$43/350*'P_L Workings'!AT37*'P_L Workings'!AT100</f>
        <v>0</v>
      </c>
      <c r="AU129" s="25">
        <f>'P_L Standard'!$D$43/350*'P_L Workings'!AU37*'P_L Workings'!AU100</f>
        <v>0</v>
      </c>
      <c r="AV129" s="25">
        <f>'P_L Standard'!$D$43/350*'P_L Workings'!AV37*'P_L Workings'!AV100</f>
        <v>0</v>
      </c>
      <c r="AW129" s="25">
        <f>'P_L Standard'!$D$43/350*'P_L Workings'!AW37*'P_L Workings'!AW100</f>
        <v>0</v>
      </c>
      <c r="AX129" s="25">
        <f>'P_L Standard'!$D$43/350*'P_L Workings'!AX37*'P_L Workings'!AX100</f>
        <v>0</v>
      </c>
      <c r="AY129" s="25">
        <f>'P_L Standard'!$D$43/350*'P_L Workings'!AY37*'P_L Workings'!AY100</f>
        <v>0</v>
      </c>
      <c r="AZ129" s="25">
        <f>'P_L Standard'!$D$43/350*'P_L Workings'!AZ37*'P_L Workings'!AZ100</f>
        <v>0</v>
      </c>
      <c r="BA129" s="25">
        <f>'P_L Standard'!$D$43/350*'P_L Workings'!BA37*'P_L Workings'!BA100</f>
        <v>0</v>
      </c>
    </row>
    <row r="130" spans="1:53" ht="13" x14ac:dyDescent="0.3">
      <c r="B130" s="2" t="s">
        <v>113</v>
      </c>
      <c r="C130" s="35">
        <f t="shared" ref="C130:AH130" si="56">SUM(C128:C129)</f>
        <v>0</v>
      </c>
      <c r="D130" s="35">
        <f t="shared" si="56"/>
        <v>0</v>
      </c>
      <c r="E130" s="35">
        <f t="shared" si="56"/>
        <v>48000</v>
      </c>
      <c r="F130" s="35">
        <f t="shared" si="56"/>
        <v>198857.14285714284</v>
      </c>
      <c r="G130" s="35">
        <f t="shared" si="56"/>
        <v>212571.42857142855</v>
      </c>
      <c r="H130" s="35">
        <f t="shared" si="56"/>
        <v>205714.28571428571</v>
      </c>
      <c r="I130" s="35">
        <f t="shared" si="56"/>
        <v>212571.42857142855</v>
      </c>
      <c r="J130" s="35">
        <f t="shared" si="56"/>
        <v>212571.42857142855</v>
      </c>
      <c r="K130" s="35">
        <f t="shared" si="56"/>
        <v>205714.28571428571</v>
      </c>
      <c r="L130" s="35">
        <f t="shared" si="56"/>
        <v>212571.42857142855</v>
      </c>
      <c r="M130" s="35">
        <f t="shared" si="56"/>
        <v>198857.14285714284</v>
      </c>
      <c r="N130" s="35">
        <f t="shared" si="56"/>
        <v>212571.42857142855</v>
      </c>
      <c r="O130" s="35">
        <f t="shared" si="56"/>
        <v>130285.71428571428</v>
      </c>
      <c r="P130" s="35">
        <f t="shared" si="56"/>
        <v>185142.85714285713</v>
      </c>
      <c r="Q130" s="35">
        <f t="shared" si="56"/>
        <v>212571.42857142855</v>
      </c>
      <c r="R130" s="35">
        <f t="shared" si="56"/>
        <v>198857.14285714284</v>
      </c>
      <c r="S130" s="35">
        <f t="shared" si="56"/>
        <v>212571.42857142855</v>
      </c>
      <c r="T130" s="35">
        <f t="shared" si="56"/>
        <v>205714.28571428571</v>
      </c>
      <c r="U130" s="35">
        <f t="shared" si="56"/>
        <v>212571.42857142855</v>
      </c>
      <c r="V130" s="35">
        <f t="shared" si="56"/>
        <v>212571.42857142855</v>
      </c>
      <c r="W130" s="35">
        <f t="shared" si="56"/>
        <v>205714.28571428571</v>
      </c>
      <c r="X130" s="35">
        <f t="shared" si="56"/>
        <v>212571.42857142855</v>
      </c>
      <c r="Y130" s="35">
        <f t="shared" si="56"/>
        <v>198857.14285714284</v>
      </c>
      <c r="Z130" s="35">
        <f t="shared" si="56"/>
        <v>212571.42857142855</v>
      </c>
      <c r="AA130" s="35">
        <f t="shared" si="56"/>
        <v>123428.57142857142</v>
      </c>
      <c r="AB130" s="35">
        <f t="shared" si="56"/>
        <v>192000</v>
      </c>
      <c r="AC130" s="35">
        <f t="shared" si="56"/>
        <v>212571.42857142855</v>
      </c>
      <c r="AD130" s="35">
        <f t="shared" si="56"/>
        <v>198857.14285714284</v>
      </c>
      <c r="AE130" s="35">
        <f t="shared" si="56"/>
        <v>212571.42857142855</v>
      </c>
      <c r="AF130" s="35">
        <f t="shared" si="56"/>
        <v>205714.28571428571</v>
      </c>
      <c r="AG130" s="35">
        <f t="shared" si="56"/>
        <v>212571.42857142855</v>
      </c>
      <c r="AH130" s="35">
        <f t="shared" si="56"/>
        <v>212571.42857142855</v>
      </c>
      <c r="AI130" s="35">
        <f t="shared" ref="AI130:BA130" si="57">SUM(AI128:AI129)</f>
        <v>205714.28571428571</v>
      </c>
      <c r="AJ130" s="35">
        <f t="shared" si="57"/>
        <v>212571.42857142855</v>
      </c>
      <c r="AK130" s="35">
        <f t="shared" si="57"/>
        <v>198857.14285714284</v>
      </c>
      <c r="AL130" s="35">
        <f t="shared" si="57"/>
        <v>212571.42857142855</v>
      </c>
      <c r="AM130" s="35">
        <f t="shared" si="57"/>
        <v>130285.71428571428</v>
      </c>
      <c r="AN130" s="35">
        <f t="shared" si="57"/>
        <v>185142.85714285713</v>
      </c>
      <c r="AO130" s="35">
        <f t="shared" si="57"/>
        <v>212571.42857142855</v>
      </c>
      <c r="AP130" s="35">
        <f t="shared" si="57"/>
        <v>198857.14285714284</v>
      </c>
      <c r="AQ130" s="35">
        <f t="shared" si="57"/>
        <v>212571.42857142855</v>
      </c>
      <c r="AR130" s="35">
        <f t="shared" si="57"/>
        <v>205714.28571428571</v>
      </c>
      <c r="AS130" s="35">
        <f t="shared" si="57"/>
        <v>212571.42857142855</v>
      </c>
      <c r="AT130" s="35">
        <f t="shared" si="57"/>
        <v>212571.42857142855</v>
      </c>
      <c r="AU130" s="35">
        <f t="shared" si="57"/>
        <v>205714.28571428571</v>
      </c>
      <c r="AV130" s="35">
        <f t="shared" si="57"/>
        <v>212571.42857142855</v>
      </c>
      <c r="AW130" s="35">
        <f t="shared" si="57"/>
        <v>198857.14285714284</v>
      </c>
      <c r="AX130" s="35">
        <f t="shared" si="57"/>
        <v>212571.42857142855</v>
      </c>
      <c r="AY130" s="35">
        <f t="shared" si="57"/>
        <v>130285.71428571428</v>
      </c>
      <c r="AZ130" s="35">
        <f t="shared" si="57"/>
        <v>185142.85714285713</v>
      </c>
      <c r="BA130" s="35">
        <f t="shared" si="57"/>
        <v>212571.42857142855</v>
      </c>
    </row>
    <row r="131" spans="1:53" ht="13" x14ac:dyDescent="0.3">
      <c r="B131" s="2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</row>
    <row r="132" spans="1:53" x14ac:dyDescent="0.25">
      <c r="B132" s="1" t="s">
        <v>36</v>
      </c>
    </row>
    <row r="133" spans="1:53" x14ac:dyDescent="0.25">
      <c r="B133" s="1" t="s">
        <v>96</v>
      </c>
      <c r="C133" s="25">
        <f>'P_L Standard'!$C$44/350*'P_L Workings'!C37</f>
        <v>0</v>
      </c>
      <c r="D133" s="25">
        <f>'P_L Standard'!$C$44/350*'P_L Workings'!D37</f>
        <v>0</v>
      </c>
      <c r="E133" s="25">
        <f>'P_L Standard'!$C$44/350*'P_L Workings'!E37</f>
        <v>7800</v>
      </c>
      <c r="F133" s="25">
        <f>'P_L Standard'!$C$44/350*'P_L Workings'!F37</f>
        <v>32314.285714285714</v>
      </c>
      <c r="G133" s="25">
        <f>'P_L Standard'!$C$44/350*'P_L Workings'!G37</f>
        <v>34542.857142857138</v>
      </c>
      <c r="H133" s="25">
        <f>'P_L Standard'!$C$44/350*'P_L Workings'!H37</f>
        <v>33428.571428571428</v>
      </c>
      <c r="I133" s="25">
        <f>'P_L Standard'!$C$44/350*'P_L Workings'!I37</f>
        <v>34542.857142857138</v>
      </c>
      <c r="J133" s="25">
        <f>'P_L Standard'!$C$44/350*'P_L Workings'!J37</f>
        <v>34542.857142857138</v>
      </c>
      <c r="K133" s="25">
        <f>'P_L Standard'!$C$44/350*'P_L Workings'!K37</f>
        <v>33428.571428571428</v>
      </c>
      <c r="L133" s="25">
        <f>'P_L Standard'!$C$44/350*'P_L Workings'!L37</f>
        <v>34542.857142857138</v>
      </c>
      <c r="M133" s="25">
        <f>'P_L Standard'!$C$44/350*'P_L Workings'!M37</f>
        <v>32314.285714285714</v>
      </c>
      <c r="N133" s="25">
        <f>'P_L Standard'!$C$44/350*'P_L Workings'!N37</f>
        <v>34542.857142857138</v>
      </c>
      <c r="O133" s="25">
        <f>'P_L Standard'!$C$44/350*'P_L Workings'!O37</f>
        <v>21171.428571428569</v>
      </c>
      <c r="P133" s="25">
        <f>'P_L Standard'!$C$44/350*'P_L Workings'!P37</f>
        <v>30085.714285714283</v>
      </c>
      <c r="Q133" s="25">
        <f>'P_L Standard'!$C$44/350*'P_L Workings'!Q37</f>
        <v>34542.857142857138</v>
      </c>
      <c r="R133" s="25">
        <f>'P_L Standard'!$C$44/350*'P_L Workings'!R37</f>
        <v>32314.285714285714</v>
      </c>
      <c r="S133" s="25">
        <f>'P_L Standard'!$C$44/350*'P_L Workings'!S37</f>
        <v>34542.857142857138</v>
      </c>
      <c r="T133" s="25">
        <f>'P_L Standard'!$C$44/350*'P_L Workings'!T37</f>
        <v>33428.571428571428</v>
      </c>
      <c r="U133" s="25">
        <f>'P_L Standard'!$C$44/350*'P_L Workings'!U37</f>
        <v>34542.857142857138</v>
      </c>
      <c r="V133" s="25">
        <f>'P_L Standard'!$C$44/350*'P_L Workings'!V37</f>
        <v>34542.857142857138</v>
      </c>
      <c r="W133" s="25">
        <f>'P_L Standard'!$C$44/350*'P_L Workings'!W37</f>
        <v>33428.571428571428</v>
      </c>
      <c r="X133" s="25">
        <f>'P_L Standard'!$C$44/350*'P_L Workings'!X37</f>
        <v>34542.857142857138</v>
      </c>
      <c r="Y133" s="25">
        <f>'P_L Standard'!$C$44/350*'P_L Workings'!Y37</f>
        <v>32314.285714285714</v>
      </c>
      <c r="Z133" s="25">
        <f>'P_L Standard'!$C$44/350*'P_L Workings'!Z37</f>
        <v>34542.857142857138</v>
      </c>
      <c r="AA133" s="25">
        <f>'P_L Standard'!$C$44/350*'P_L Workings'!AA37</f>
        <v>20057.142857142855</v>
      </c>
      <c r="AB133" s="25">
        <f>'P_L Standard'!$C$44/350*'P_L Workings'!AB37</f>
        <v>31200</v>
      </c>
      <c r="AC133" s="25">
        <f>'P_L Standard'!$C$44/350*'P_L Workings'!AC37</f>
        <v>34542.857142857138</v>
      </c>
      <c r="AD133" s="25">
        <f>'P_L Standard'!$C$44/350*'P_L Workings'!AD37</f>
        <v>32314.285714285714</v>
      </c>
      <c r="AE133" s="25">
        <f>'P_L Standard'!$C$44/350*'P_L Workings'!AE37</f>
        <v>34542.857142857138</v>
      </c>
      <c r="AF133" s="25">
        <f>'P_L Standard'!$C$44/350*'P_L Workings'!AF37</f>
        <v>33428.571428571428</v>
      </c>
      <c r="AG133" s="25">
        <f>'P_L Standard'!$C$44/350*'P_L Workings'!AG37</f>
        <v>34542.857142857138</v>
      </c>
      <c r="AH133" s="25">
        <f>'P_L Standard'!$C$44/350*'P_L Workings'!AH37</f>
        <v>34542.857142857138</v>
      </c>
      <c r="AI133" s="25">
        <f>'P_L Standard'!$C$44/350*'P_L Workings'!AI37</f>
        <v>33428.571428571428</v>
      </c>
      <c r="AJ133" s="25">
        <f>'P_L Standard'!$C$44/350*'P_L Workings'!AJ37</f>
        <v>34542.857142857138</v>
      </c>
      <c r="AK133" s="25">
        <f>'P_L Standard'!$C$44/350*'P_L Workings'!AK37</f>
        <v>32314.285714285714</v>
      </c>
      <c r="AL133" s="25">
        <f>'P_L Standard'!$C$44/350*'P_L Workings'!AL37</f>
        <v>34542.857142857138</v>
      </c>
      <c r="AM133" s="25">
        <f>'P_L Standard'!$C$44/350*'P_L Workings'!AM37</f>
        <v>21171.428571428569</v>
      </c>
      <c r="AN133" s="25">
        <f>'P_L Standard'!$C$44/350*'P_L Workings'!AN37</f>
        <v>30085.714285714283</v>
      </c>
      <c r="AO133" s="25">
        <f>'P_L Standard'!$C$44/350*'P_L Workings'!AO37</f>
        <v>34542.857142857138</v>
      </c>
      <c r="AP133" s="25">
        <f>'P_L Standard'!$C$44/350*'P_L Workings'!AP37</f>
        <v>32314.285714285714</v>
      </c>
      <c r="AQ133" s="25">
        <f>'P_L Standard'!$C$44/350*'P_L Workings'!AQ37</f>
        <v>34542.857142857138</v>
      </c>
      <c r="AR133" s="25">
        <f>'P_L Standard'!$C$44/350*'P_L Workings'!AR37</f>
        <v>33428.571428571428</v>
      </c>
      <c r="AS133" s="25">
        <f>'P_L Standard'!$C$44/350*'P_L Workings'!AS37</f>
        <v>34542.857142857138</v>
      </c>
      <c r="AT133" s="25">
        <f>'P_L Standard'!$C$44/350*'P_L Workings'!AT37</f>
        <v>34542.857142857138</v>
      </c>
      <c r="AU133" s="25">
        <f>'P_L Standard'!$C$44/350*'P_L Workings'!AU37</f>
        <v>33428.571428571428</v>
      </c>
      <c r="AV133" s="25">
        <f>'P_L Standard'!$C$44/350*'P_L Workings'!AV37</f>
        <v>34542.857142857138</v>
      </c>
      <c r="AW133" s="25">
        <f>'P_L Standard'!$C$44/350*'P_L Workings'!AW37</f>
        <v>32314.285714285714</v>
      </c>
      <c r="AX133" s="25">
        <f>'P_L Standard'!$C$44/350*'P_L Workings'!AX37</f>
        <v>34542.857142857138</v>
      </c>
      <c r="AY133" s="25">
        <f>'P_L Standard'!$C$44/350*'P_L Workings'!AY37</f>
        <v>21171.428571428569</v>
      </c>
      <c r="AZ133" s="25">
        <f>'P_L Standard'!$C$44/350*'P_L Workings'!AZ37</f>
        <v>30085.714285714283</v>
      </c>
      <c r="BA133" s="25">
        <f>'P_L Standard'!$C$44/350*'P_L Workings'!BA37</f>
        <v>34542.857142857138</v>
      </c>
    </row>
    <row r="134" spans="1:53" ht="12.75" customHeight="1" x14ac:dyDescent="0.25">
      <c r="B134" s="1" t="s">
        <v>97</v>
      </c>
      <c r="C134" s="25">
        <f>'P_L Standard'!$D$44/350*'P_L Workings'!C66*'P_L Workings'!C100</f>
        <v>0</v>
      </c>
      <c r="D134" s="25">
        <f>'P_L Standard'!$D$44/350*'P_L Workings'!D66*'P_L Workings'!D100</f>
        <v>0</v>
      </c>
      <c r="E134" s="25">
        <f>'P_L Standard'!$D$44/350*'P_L Workings'!E66*'P_L Workings'!E100</f>
        <v>0</v>
      </c>
      <c r="F134" s="25">
        <f>'P_L Standard'!$D$44/350*'P_L Workings'!F66*'P_L Workings'!F100</f>
        <v>0</v>
      </c>
      <c r="G134" s="25">
        <f>'P_L Standard'!$D$44/350*'P_L Workings'!G66*'P_L Workings'!G100</f>
        <v>0</v>
      </c>
      <c r="H134" s="25">
        <f>'P_L Standard'!$D$44/350*'P_L Workings'!H66*'P_L Workings'!H100</f>
        <v>0</v>
      </c>
      <c r="I134" s="25">
        <f>'P_L Standard'!$D$44/350*'P_L Workings'!I66*'P_L Workings'!I100</f>
        <v>0</v>
      </c>
      <c r="J134" s="25">
        <f>'P_L Standard'!$D$44/350*'P_L Workings'!J66*'P_L Workings'!J100</f>
        <v>0</v>
      </c>
      <c r="K134" s="25">
        <f>'P_L Standard'!$D$44/350*'P_L Workings'!K66*'P_L Workings'!K100</f>
        <v>0</v>
      </c>
      <c r="L134" s="25">
        <f>'P_L Standard'!$D$44/350*'P_L Workings'!L66*'P_L Workings'!L100</f>
        <v>0</v>
      </c>
      <c r="M134" s="25">
        <f>'P_L Standard'!$D$44/350*'P_L Workings'!M66*'P_L Workings'!M100</f>
        <v>0</v>
      </c>
      <c r="N134" s="25">
        <f>'P_L Standard'!$D$44/350*'P_L Workings'!N66*'P_L Workings'!N100</f>
        <v>0</v>
      </c>
      <c r="O134" s="25">
        <f>'P_L Standard'!$D$44/350*'P_L Workings'!O66*'P_L Workings'!O100</f>
        <v>0</v>
      </c>
      <c r="P134" s="25">
        <f>'P_L Standard'!$D$44/350*'P_L Workings'!P66*'P_L Workings'!P100</f>
        <v>0</v>
      </c>
      <c r="Q134" s="25">
        <f>'P_L Standard'!$D$44/350*'P_L Workings'!Q66*'P_L Workings'!Q100</f>
        <v>0</v>
      </c>
      <c r="R134" s="25">
        <f>'P_L Standard'!$D$44/350*'P_L Workings'!R66*'P_L Workings'!R100</f>
        <v>0</v>
      </c>
      <c r="S134" s="25">
        <f>'P_L Standard'!$D$44/350*'P_L Workings'!S66*'P_L Workings'!S100</f>
        <v>0</v>
      </c>
      <c r="T134" s="25">
        <f>'P_L Standard'!$D$44/350*'P_L Workings'!T66*'P_L Workings'!T100</f>
        <v>0</v>
      </c>
      <c r="U134" s="25">
        <f>'P_L Standard'!$D$44/350*'P_L Workings'!U66*'P_L Workings'!U100</f>
        <v>0</v>
      </c>
      <c r="V134" s="25">
        <f>'P_L Standard'!$D$44/350*'P_L Workings'!V66*'P_L Workings'!V100</f>
        <v>0</v>
      </c>
      <c r="W134" s="25">
        <f>'P_L Standard'!$D$44/350*'P_L Workings'!W66*'P_L Workings'!W100</f>
        <v>0</v>
      </c>
      <c r="X134" s="25">
        <f>'P_L Standard'!$D$44/350*'P_L Workings'!X66*'P_L Workings'!X100</f>
        <v>0</v>
      </c>
      <c r="Y134" s="25">
        <f>'P_L Standard'!$D$44/350*'P_L Workings'!Y66*'P_L Workings'!Y100</f>
        <v>0</v>
      </c>
      <c r="Z134" s="25">
        <f>'P_L Standard'!$D$44/350*'P_L Workings'!Z66*'P_L Workings'!Z100</f>
        <v>0</v>
      </c>
      <c r="AA134" s="25">
        <f>'P_L Standard'!$D$44/350*'P_L Workings'!AA66*'P_L Workings'!AA100</f>
        <v>0</v>
      </c>
      <c r="AB134" s="25">
        <f>'P_L Standard'!$D$44/350*'P_L Workings'!AB66*'P_L Workings'!AB100</f>
        <v>0</v>
      </c>
      <c r="AC134" s="25">
        <f>'P_L Standard'!$D$44/350*'P_L Workings'!AC66*'P_L Workings'!AC100</f>
        <v>0</v>
      </c>
      <c r="AD134" s="25">
        <f>'P_L Standard'!$D$44/350*'P_L Workings'!AD66*'P_L Workings'!AD100</f>
        <v>0</v>
      </c>
      <c r="AE134" s="25">
        <f>'P_L Standard'!$D$44/350*'P_L Workings'!AE66*'P_L Workings'!AE100</f>
        <v>0</v>
      </c>
      <c r="AF134" s="25">
        <f>'P_L Standard'!$D$44/350*'P_L Workings'!AF66*'P_L Workings'!AF100</f>
        <v>0</v>
      </c>
      <c r="AG134" s="25">
        <f>'P_L Standard'!$D$44/350*'P_L Workings'!AG66*'P_L Workings'!AG100</f>
        <v>0</v>
      </c>
      <c r="AH134" s="25">
        <f>'P_L Standard'!$D$44/350*'P_L Workings'!AH66*'P_L Workings'!AH100</f>
        <v>0</v>
      </c>
      <c r="AI134" s="25">
        <f>'P_L Standard'!$D$44/350*'P_L Workings'!AI66*'P_L Workings'!AI100</f>
        <v>0</v>
      </c>
      <c r="AJ134" s="25">
        <f>'P_L Standard'!$D$44/350*'P_L Workings'!AJ66*'P_L Workings'!AJ100</f>
        <v>0</v>
      </c>
      <c r="AK134" s="25">
        <f>'P_L Standard'!$D$44/350*'P_L Workings'!AK66*'P_L Workings'!AK100</f>
        <v>0</v>
      </c>
      <c r="AL134" s="25">
        <f>'P_L Standard'!$D$44/350*'P_L Workings'!AL66*'P_L Workings'!AL100</f>
        <v>0</v>
      </c>
      <c r="AM134" s="25">
        <f>'P_L Standard'!$D$44/350*'P_L Workings'!AM66*'P_L Workings'!AM100</f>
        <v>0</v>
      </c>
      <c r="AN134" s="25">
        <f>'P_L Standard'!$D$44/350*'P_L Workings'!AN66*'P_L Workings'!AN100</f>
        <v>0</v>
      </c>
      <c r="AO134" s="25">
        <f>'P_L Standard'!$D$44/350*'P_L Workings'!AO66*'P_L Workings'!AO100</f>
        <v>0</v>
      </c>
      <c r="AP134" s="25">
        <f>'P_L Standard'!$D$44/350*'P_L Workings'!AP66*'P_L Workings'!AP100</f>
        <v>0</v>
      </c>
      <c r="AQ134" s="25">
        <f>'P_L Standard'!$D$44/350*'P_L Workings'!AQ66*'P_L Workings'!AQ100</f>
        <v>0</v>
      </c>
      <c r="AR134" s="25">
        <f>'P_L Standard'!$D$44/350*'P_L Workings'!AR66*'P_L Workings'!AR100</f>
        <v>0</v>
      </c>
      <c r="AS134" s="25">
        <f>'P_L Standard'!$D$44/350*'P_L Workings'!AS66*'P_L Workings'!AS100</f>
        <v>0</v>
      </c>
      <c r="AT134" s="25">
        <f>'P_L Standard'!$D$44/350*'P_L Workings'!AT66*'P_L Workings'!AT100</f>
        <v>0</v>
      </c>
      <c r="AU134" s="25">
        <f>'P_L Standard'!$D$44/350*'P_L Workings'!AU66*'P_L Workings'!AU100</f>
        <v>0</v>
      </c>
      <c r="AV134" s="25">
        <f>'P_L Standard'!$D$44/350*'P_L Workings'!AV66*'P_L Workings'!AV100</f>
        <v>0</v>
      </c>
      <c r="AW134" s="25">
        <f>'P_L Standard'!$D$44/350*'P_L Workings'!AW66*'P_L Workings'!AW100</f>
        <v>0</v>
      </c>
      <c r="AX134" s="25">
        <f>'P_L Standard'!$D$44/350*'P_L Workings'!AX66*'P_L Workings'!AX100</f>
        <v>0</v>
      </c>
      <c r="AY134" s="25">
        <f>'P_L Standard'!$D$44/350*'P_L Workings'!AY66*'P_L Workings'!AY100</f>
        <v>0</v>
      </c>
      <c r="AZ134" s="25">
        <f>'P_L Standard'!$D$44/350*'P_L Workings'!AZ66*'P_L Workings'!AZ100</f>
        <v>0</v>
      </c>
      <c r="BA134" s="25">
        <f>'P_L Standard'!$D$44/350*'P_L Workings'!BA66*'P_L Workings'!BA100</f>
        <v>0</v>
      </c>
    </row>
    <row r="135" spans="1:53" ht="12.75" customHeight="1" x14ac:dyDescent="0.3">
      <c r="B135" s="2" t="s">
        <v>114</v>
      </c>
      <c r="C135" s="35">
        <f t="shared" ref="C135:AH135" si="58">SUM(C133:C134)</f>
        <v>0</v>
      </c>
      <c r="D135" s="35">
        <f t="shared" si="58"/>
        <v>0</v>
      </c>
      <c r="E135" s="35">
        <f t="shared" si="58"/>
        <v>7800</v>
      </c>
      <c r="F135" s="35">
        <f t="shared" si="58"/>
        <v>32314.285714285714</v>
      </c>
      <c r="G135" s="35">
        <f t="shared" si="58"/>
        <v>34542.857142857138</v>
      </c>
      <c r="H135" s="35">
        <f t="shared" si="58"/>
        <v>33428.571428571428</v>
      </c>
      <c r="I135" s="35">
        <f t="shared" si="58"/>
        <v>34542.857142857138</v>
      </c>
      <c r="J135" s="35">
        <f t="shared" si="58"/>
        <v>34542.857142857138</v>
      </c>
      <c r="K135" s="35">
        <f t="shared" si="58"/>
        <v>33428.571428571428</v>
      </c>
      <c r="L135" s="35">
        <f t="shared" si="58"/>
        <v>34542.857142857138</v>
      </c>
      <c r="M135" s="35">
        <f t="shared" si="58"/>
        <v>32314.285714285714</v>
      </c>
      <c r="N135" s="35">
        <f t="shared" si="58"/>
        <v>34542.857142857138</v>
      </c>
      <c r="O135" s="35">
        <f t="shared" si="58"/>
        <v>21171.428571428569</v>
      </c>
      <c r="P135" s="35">
        <f t="shared" si="58"/>
        <v>30085.714285714283</v>
      </c>
      <c r="Q135" s="35">
        <f t="shared" si="58"/>
        <v>34542.857142857138</v>
      </c>
      <c r="R135" s="35">
        <f t="shared" si="58"/>
        <v>32314.285714285714</v>
      </c>
      <c r="S135" s="35">
        <f t="shared" si="58"/>
        <v>34542.857142857138</v>
      </c>
      <c r="T135" s="35">
        <f t="shared" si="58"/>
        <v>33428.571428571428</v>
      </c>
      <c r="U135" s="35">
        <f t="shared" si="58"/>
        <v>34542.857142857138</v>
      </c>
      <c r="V135" s="35">
        <f t="shared" si="58"/>
        <v>34542.857142857138</v>
      </c>
      <c r="W135" s="35">
        <f t="shared" si="58"/>
        <v>33428.571428571428</v>
      </c>
      <c r="X135" s="35">
        <f t="shared" si="58"/>
        <v>34542.857142857138</v>
      </c>
      <c r="Y135" s="35">
        <f t="shared" si="58"/>
        <v>32314.285714285714</v>
      </c>
      <c r="Z135" s="35">
        <f t="shared" si="58"/>
        <v>34542.857142857138</v>
      </c>
      <c r="AA135" s="35">
        <f t="shared" si="58"/>
        <v>20057.142857142855</v>
      </c>
      <c r="AB135" s="35">
        <f t="shared" si="58"/>
        <v>31200</v>
      </c>
      <c r="AC135" s="35">
        <f t="shared" si="58"/>
        <v>34542.857142857138</v>
      </c>
      <c r="AD135" s="35">
        <f t="shared" si="58"/>
        <v>32314.285714285714</v>
      </c>
      <c r="AE135" s="35">
        <f t="shared" si="58"/>
        <v>34542.857142857138</v>
      </c>
      <c r="AF135" s="35">
        <f t="shared" si="58"/>
        <v>33428.571428571428</v>
      </c>
      <c r="AG135" s="35">
        <f t="shared" si="58"/>
        <v>34542.857142857138</v>
      </c>
      <c r="AH135" s="35">
        <f t="shared" si="58"/>
        <v>34542.857142857138</v>
      </c>
      <c r="AI135" s="35">
        <f t="shared" ref="AI135:BA135" si="59">SUM(AI133:AI134)</f>
        <v>33428.571428571428</v>
      </c>
      <c r="AJ135" s="35">
        <f t="shared" si="59"/>
        <v>34542.857142857138</v>
      </c>
      <c r="AK135" s="35">
        <f t="shared" si="59"/>
        <v>32314.285714285714</v>
      </c>
      <c r="AL135" s="35">
        <f t="shared" si="59"/>
        <v>34542.857142857138</v>
      </c>
      <c r="AM135" s="35">
        <f t="shared" si="59"/>
        <v>21171.428571428569</v>
      </c>
      <c r="AN135" s="35">
        <f t="shared" si="59"/>
        <v>30085.714285714283</v>
      </c>
      <c r="AO135" s="35">
        <f t="shared" si="59"/>
        <v>34542.857142857138</v>
      </c>
      <c r="AP135" s="35">
        <f t="shared" si="59"/>
        <v>32314.285714285714</v>
      </c>
      <c r="AQ135" s="35">
        <f t="shared" si="59"/>
        <v>34542.857142857138</v>
      </c>
      <c r="AR135" s="35">
        <f t="shared" si="59"/>
        <v>33428.571428571428</v>
      </c>
      <c r="AS135" s="35">
        <f t="shared" si="59"/>
        <v>34542.857142857138</v>
      </c>
      <c r="AT135" s="35">
        <f t="shared" si="59"/>
        <v>34542.857142857138</v>
      </c>
      <c r="AU135" s="35">
        <f t="shared" si="59"/>
        <v>33428.571428571428</v>
      </c>
      <c r="AV135" s="35">
        <f t="shared" si="59"/>
        <v>34542.857142857138</v>
      </c>
      <c r="AW135" s="35">
        <f t="shared" si="59"/>
        <v>32314.285714285714</v>
      </c>
      <c r="AX135" s="35">
        <f t="shared" si="59"/>
        <v>34542.857142857138</v>
      </c>
      <c r="AY135" s="35">
        <f t="shared" si="59"/>
        <v>21171.428571428569</v>
      </c>
      <c r="AZ135" s="35">
        <f t="shared" si="59"/>
        <v>30085.714285714283</v>
      </c>
      <c r="BA135" s="35">
        <f t="shared" si="59"/>
        <v>34542.857142857138</v>
      </c>
    </row>
    <row r="137" spans="1:53" x14ac:dyDescent="0.25">
      <c r="B137" s="1" t="s">
        <v>37</v>
      </c>
    </row>
    <row r="138" spans="1:53" x14ac:dyDescent="0.25">
      <c r="B138" s="1" t="s">
        <v>96</v>
      </c>
      <c r="C138" s="25">
        <f>'P_L Standard'!$C$45/350*'P_L Workings'!C37</f>
        <v>0</v>
      </c>
      <c r="D138" s="25">
        <f>'P_L Standard'!$C$45/350*'P_L Workings'!D37</f>
        <v>0</v>
      </c>
      <c r="E138" s="25">
        <f>'P_L Standard'!$C$45/350*'P_L Workings'!E37</f>
        <v>6000</v>
      </c>
      <c r="F138" s="25">
        <f>'P_L Standard'!$C$45/350*'P_L Workings'!F37</f>
        <v>24857.142857142855</v>
      </c>
      <c r="G138" s="25">
        <f>'P_L Standard'!$C$45/350*'P_L Workings'!G37</f>
        <v>26571.428571428569</v>
      </c>
      <c r="H138" s="25">
        <f>'P_L Standard'!$C$45/350*'P_L Workings'!H37</f>
        <v>25714.285714285714</v>
      </c>
      <c r="I138" s="25">
        <f>'P_L Standard'!$C$45/350*'P_L Workings'!I37</f>
        <v>26571.428571428569</v>
      </c>
      <c r="J138" s="25">
        <f>'P_L Standard'!$C$45/350*'P_L Workings'!J37</f>
        <v>26571.428571428569</v>
      </c>
      <c r="K138" s="25">
        <f>'P_L Standard'!$C$45/350*'P_L Workings'!K37</f>
        <v>25714.285714285714</v>
      </c>
      <c r="L138" s="25">
        <f>'P_L Standard'!$C$45/350*'P_L Workings'!L37</f>
        <v>26571.428571428569</v>
      </c>
      <c r="M138" s="25">
        <f>'P_L Standard'!$C$45/350*'P_L Workings'!M37</f>
        <v>24857.142857142855</v>
      </c>
      <c r="N138" s="25">
        <f>'P_L Standard'!$C$45/350*'P_L Workings'!N37</f>
        <v>26571.428571428569</v>
      </c>
      <c r="O138" s="25">
        <f>'P_L Standard'!$C$45/350*'P_L Workings'!O37</f>
        <v>16285.714285714284</v>
      </c>
      <c r="P138" s="25">
        <f>'P_L Standard'!$C$45/350*'P_L Workings'!P37</f>
        <v>23142.857142857141</v>
      </c>
      <c r="Q138" s="25">
        <f>'P_L Standard'!$C$45/350*'P_L Workings'!Q37</f>
        <v>26571.428571428569</v>
      </c>
      <c r="R138" s="25">
        <f>'P_L Standard'!$C$45/350*'P_L Workings'!R37</f>
        <v>24857.142857142855</v>
      </c>
      <c r="S138" s="25">
        <f>'P_L Standard'!$C$45/350*'P_L Workings'!S37</f>
        <v>26571.428571428569</v>
      </c>
      <c r="T138" s="25">
        <f>'P_L Standard'!$C$45/350*'P_L Workings'!T37</f>
        <v>25714.285714285714</v>
      </c>
      <c r="U138" s="25">
        <f>'P_L Standard'!$C$45/350*'P_L Workings'!U37</f>
        <v>26571.428571428569</v>
      </c>
      <c r="V138" s="25">
        <f>'P_L Standard'!$C$45/350*'P_L Workings'!V37</f>
        <v>26571.428571428569</v>
      </c>
      <c r="W138" s="25">
        <f>'P_L Standard'!$C$45/350*'P_L Workings'!W37</f>
        <v>25714.285714285714</v>
      </c>
      <c r="X138" s="25">
        <f>'P_L Standard'!$C$45/350*'P_L Workings'!X37</f>
        <v>26571.428571428569</v>
      </c>
      <c r="Y138" s="25">
        <f>'P_L Standard'!$C$45/350*'P_L Workings'!Y37</f>
        <v>24857.142857142855</v>
      </c>
      <c r="Z138" s="25">
        <f>'P_L Standard'!$C$45/350*'P_L Workings'!Z37</f>
        <v>26571.428571428569</v>
      </c>
      <c r="AA138" s="25">
        <f>'P_L Standard'!$C$45/350*'P_L Workings'!AA37</f>
        <v>15428.571428571428</v>
      </c>
      <c r="AB138" s="25">
        <f>'P_L Standard'!$C$45/350*'P_L Workings'!AB37</f>
        <v>24000</v>
      </c>
      <c r="AC138" s="25">
        <f>'P_L Standard'!$C$45/350*'P_L Workings'!AC37</f>
        <v>26571.428571428569</v>
      </c>
      <c r="AD138" s="25">
        <f>'P_L Standard'!$C$45/350*'P_L Workings'!AD37</f>
        <v>24857.142857142855</v>
      </c>
      <c r="AE138" s="25">
        <f>'P_L Standard'!$C$45/350*'P_L Workings'!AE37</f>
        <v>26571.428571428569</v>
      </c>
      <c r="AF138" s="25">
        <f>'P_L Standard'!$C$45/350*'P_L Workings'!AF37</f>
        <v>25714.285714285714</v>
      </c>
      <c r="AG138" s="25">
        <f>'P_L Standard'!$C$45/350*'P_L Workings'!AG37</f>
        <v>26571.428571428569</v>
      </c>
      <c r="AH138" s="25">
        <f>'P_L Standard'!$C$45/350*'P_L Workings'!AH37</f>
        <v>26571.428571428569</v>
      </c>
      <c r="AI138" s="25">
        <f>'P_L Standard'!$C$45/350*'P_L Workings'!AI37</f>
        <v>25714.285714285714</v>
      </c>
      <c r="AJ138" s="25">
        <f>'P_L Standard'!$C$45/350*'P_L Workings'!AJ37</f>
        <v>26571.428571428569</v>
      </c>
      <c r="AK138" s="25">
        <f>'P_L Standard'!$C$45/350*'P_L Workings'!AK37</f>
        <v>24857.142857142855</v>
      </c>
      <c r="AL138" s="25">
        <f>'P_L Standard'!$C$45/350*'P_L Workings'!AL37</f>
        <v>26571.428571428569</v>
      </c>
      <c r="AM138" s="25">
        <f>'P_L Standard'!$C$45/350*'P_L Workings'!AM37</f>
        <v>16285.714285714284</v>
      </c>
      <c r="AN138" s="25">
        <f>'P_L Standard'!$C$45/350*'P_L Workings'!AN37</f>
        <v>23142.857142857141</v>
      </c>
      <c r="AO138" s="25">
        <f>'P_L Standard'!$C$45/350*'P_L Workings'!AO37</f>
        <v>26571.428571428569</v>
      </c>
      <c r="AP138" s="25">
        <f>'P_L Standard'!$C$45/350*'P_L Workings'!AP37</f>
        <v>24857.142857142855</v>
      </c>
      <c r="AQ138" s="25">
        <f>'P_L Standard'!$C$45/350*'P_L Workings'!AQ37</f>
        <v>26571.428571428569</v>
      </c>
      <c r="AR138" s="25">
        <f>'P_L Standard'!$C$45/350*'P_L Workings'!AR37</f>
        <v>25714.285714285714</v>
      </c>
      <c r="AS138" s="25">
        <f>'P_L Standard'!$C$45/350*'P_L Workings'!AS37</f>
        <v>26571.428571428569</v>
      </c>
      <c r="AT138" s="25">
        <f>'P_L Standard'!$C$45/350*'P_L Workings'!AT37</f>
        <v>26571.428571428569</v>
      </c>
      <c r="AU138" s="25">
        <f>'P_L Standard'!$C$45/350*'P_L Workings'!AU37</f>
        <v>25714.285714285714</v>
      </c>
      <c r="AV138" s="25">
        <f>'P_L Standard'!$C$45/350*'P_L Workings'!AV37</f>
        <v>26571.428571428569</v>
      </c>
      <c r="AW138" s="25">
        <f>'P_L Standard'!$C$45/350*'P_L Workings'!AW37</f>
        <v>24857.142857142855</v>
      </c>
      <c r="AX138" s="25">
        <f>'P_L Standard'!$C$45/350*'P_L Workings'!AX37</f>
        <v>26571.428571428569</v>
      </c>
      <c r="AY138" s="25">
        <f>'P_L Standard'!$C$45/350*'P_L Workings'!AY37</f>
        <v>16285.714285714284</v>
      </c>
      <c r="AZ138" s="25">
        <f>'P_L Standard'!$C$45/350*'P_L Workings'!AZ37</f>
        <v>23142.857142857141</v>
      </c>
      <c r="BA138" s="25">
        <f>'P_L Standard'!$C$45/350*'P_L Workings'!BA37</f>
        <v>26571.428571428569</v>
      </c>
    </row>
    <row r="139" spans="1:53" x14ac:dyDescent="0.25">
      <c r="B139" s="1" t="s">
        <v>97</v>
      </c>
      <c r="C139" s="25">
        <f>'P_L Standard'!$D$45/350*'P_L Workings'!C37*'P_L Workings'!C100</f>
        <v>0</v>
      </c>
      <c r="D139" s="25">
        <f>'P_L Standard'!$D$45/350*'P_L Workings'!D37*'P_L Workings'!D100</f>
        <v>0</v>
      </c>
      <c r="E139" s="25">
        <f>'P_L Standard'!$D$45/350*'P_L Workings'!E37*'P_L Workings'!E100</f>
        <v>0</v>
      </c>
      <c r="F139" s="25">
        <f>'P_L Standard'!$D$45/350*'P_L Workings'!F37*'P_L Workings'!F100</f>
        <v>0</v>
      </c>
      <c r="G139" s="25">
        <f>'P_L Standard'!$D$45/350*'P_L Workings'!G37*'P_L Workings'!G100</f>
        <v>0</v>
      </c>
      <c r="H139" s="25">
        <f>'P_L Standard'!$D$45/350*'P_L Workings'!H37*'P_L Workings'!H100</f>
        <v>0</v>
      </c>
      <c r="I139" s="25">
        <f>'P_L Standard'!$D$45/350*'P_L Workings'!I37*'P_L Workings'!I100</f>
        <v>0</v>
      </c>
      <c r="J139" s="25">
        <f>'P_L Standard'!$D$45/350*'P_L Workings'!J37*'P_L Workings'!J100</f>
        <v>0</v>
      </c>
      <c r="K139" s="25">
        <f>'P_L Standard'!$D$45/350*'P_L Workings'!K37*'P_L Workings'!K100</f>
        <v>0</v>
      </c>
      <c r="L139" s="25">
        <f>'P_L Standard'!$D$45/350*'P_L Workings'!L37*'P_L Workings'!L100</f>
        <v>0</v>
      </c>
      <c r="M139" s="25">
        <f>'P_L Standard'!$D$45/350*'P_L Workings'!M37*'P_L Workings'!M100</f>
        <v>0</v>
      </c>
      <c r="N139" s="25">
        <f>'P_L Standard'!$D$45/350*'P_L Workings'!N37*'P_L Workings'!N100</f>
        <v>0</v>
      </c>
      <c r="O139" s="25">
        <f>'P_L Standard'!$D$45/350*'P_L Workings'!O37*'P_L Workings'!O100</f>
        <v>0</v>
      </c>
      <c r="P139" s="25">
        <f>'P_L Standard'!$D$45/350*'P_L Workings'!P37*'P_L Workings'!P100</f>
        <v>0</v>
      </c>
      <c r="Q139" s="25">
        <f>'P_L Standard'!$D$45/350*'P_L Workings'!Q37*'P_L Workings'!Q100</f>
        <v>0</v>
      </c>
      <c r="R139" s="25">
        <f>'P_L Standard'!$D$45/350*'P_L Workings'!R37*'P_L Workings'!R100</f>
        <v>0</v>
      </c>
      <c r="S139" s="25">
        <f>'P_L Standard'!$D$45/350*'P_L Workings'!S37*'P_L Workings'!S100</f>
        <v>0</v>
      </c>
      <c r="T139" s="25">
        <f>'P_L Standard'!$D$45/350*'P_L Workings'!T37*'P_L Workings'!T100</f>
        <v>0</v>
      </c>
      <c r="U139" s="25">
        <f>'P_L Standard'!$D$45/350*'P_L Workings'!U37*'P_L Workings'!U100</f>
        <v>0</v>
      </c>
      <c r="V139" s="25">
        <f>'P_L Standard'!$D$45/350*'P_L Workings'!V37*'P_L Workings'!V100</f>
        <v>0</v>
      </c>
      <c r="W139" s="25">
        <f>'P_L Standard'!$D$45/350*'P_L Workings'!W37*'P_L Workings'!W100</f>
        <v>0</v>
      </c>
      <c r="X139" s="25">
        <f>'P_L Standard'!$D$45/350*'P_L Workings'!X37*'P_L Workings'!X100</f>
        <v>0</v>
      </c>
      <c r="Y139" s="25">
        <f>'P_L Standard'!$D$45/350*'P_L Workings'!Y37*'P_L Workings'!Y100</f>
        <v>0</v>
      </c>
      <c r="Z139" s="25">
        <f>'P_L Standard'!$D$45/350*'P_L Workings'!Z37*'P_L Workings'!Z100</f>
        <v>0</v>
      </c>
      <c r="AA139" s="25">
        <f>'P_L Standard'!$D$45/350*'P_L Workings'!AA37*'P_L Workings'!AA100</f>
        <v>0</v>
      </c>
      <c r="AB139" s="25">
        <f>'P_L Standard'!$D$45/350*'P_L Workings'!AB37*'P_L Workings'!AB100</f>
        <v>0</v>
      </c>
      <c r="AC139" s="25">
        <f>'P_L Standard'!$D$45/350*'P_L Workings'!AC37*'P_L Workings'!AC100</f>
        <v>0</v>
      </c>
      <c r="AD139" s="25">
        <f>'P_L Standard'!$D$45/350*'P_L Workings'!AD37*'P_L Workings'!AD100</f>
        <v>0</v>
      </c>
      <c r="AE139" s="25">
        <f>'P_L Standard'!$D$45/350*'P_L Workings'!AE37*'P_L Workings'!AE100</f>
        <v>0</v>
      </c>
      <c r="AF139" s="25">
        <f>'P_L Standard'!$D$45/350*'P_L Workings'!AF37*'P_L Workings'!AF100</f>
        <v>0</v>
      </c>
      <c r="AG139" s="25">
        <f>'P_L Standard'!$D$45/350*'P_L Workings'!AG37*'P_L Workings'!AG100</f>
        <v>0</v>
      </c>
      <c r="AH139" s="25">
        <f>'P_L Standard'!$D$45/350*'P_L Workings'!AH37*'P_L Workings'!AH100</f>
        <v>0</v>
      </c>
      <c r="AI139" s="25">
        <f>'P_L Standard'!$D$45/350*'P_L Workings'!AI37*'P_L Workings'!AI100</f>
        <v>0</v>
      </c>
      <c r="AJ139" s="25">
        <f>'P_L Standard'!$D$45/350*'P_L Workings'!AJ37*'P_L Workings'!AJ100</f>
        <v>0</v>
      </c>
      <c r="AK139" s="25">
        <f>'P_L Standard'!$D$45/350*'P_L Workings'!AK37*'P_L Workings'!AK100</f>
        <v>0</v>
      </c>
      <c r="AL139" s="25">
        <f>'P_L Standard'!$D$45/350*'P_L Workings'!AL37*'P_L Workings'!AL100</f>
        <v>0</v>
      </c>
      <c r="AM139" s="25">
        <f>'P_L Standard'!$D$45/350*'P_L Workings'!AM37*'P_L Workings'!AM100</f>
        <v>0</v>
      </c>
      <c r="AN139" s="25">
        <f>'P_L Standard'!$D$45/350*'P_L Workings'!AN37*'P_L Workings'!AN100</f>
        <v>0</v>
      </c>
      <c r="AO139" s="25">
        <f>'P_L Standard'!$D$45/350*'P_L Workings'!AO37*'P_L Workings'!AO100</f>
        <v>0</v>
      </c>
      <c r="AP139" s="25">
        <f>'P_L Standard'!$D$45/350*'P_L Workings'!AP37*'P_L Workings'!AP100</f>
        <v>0</v>
      </c>
      <c r="AQ139" s="25">
        <f>'P_L Standard'!$D$45/350*'P_L Workings'!AQ37*'P_L Workings'!AQ100</f>
        <v>0</v>
      </c>
      <c r="AR139" s="25">
        <f>'P_L Standard'!$D$45/350*'P_L Workings'!AR37*'P_L Workings'!AR100</f>
        <v>0</v>
      </c>
      <c r="AS139" s="25">
        <f>'P_L Standard'!$D$45/350*'P_L Workings'!AS37*'P_L Workings'!AS100</f>
        <v>0</v>
      </c>
      <c r="AT139" s="25">
        <f>'P_L Standard'!$D$45/350*'P_L Workings'!AT37*'P_L Workings'!AT100</f>
        <v>0</v>
      </c>
      <c r="AU139" s="25">
        <f>'P_L Standard'!$D$45/350*'P_L Workings'!AU37*'P_L Workings'!AU100</f>
        <v>0</v>
      </c>
      <c r="AV139" s="25">
        <f>'P_L Standard'!$D$45/350*'P_L Workings'!AV37*'P_L Workings'!AV100</f>
        <v>0</v>
      </c>
      <c r="AW139" s="25">
        <f>'P_L Standard'!$D$45/350*'P_L Workings'!AW37*'P_L Workings'!AW100</f>
        <v>0</v>
      </c>
      <c r="AX139" s="25">
        <f>'P_L Standard'!$D$45/350*'P_L Workings'!AX37*'P_L Workings'!AX100</f>
        <v>0</v>
      </c>
      <c r="AY139" s="25">
        <f>'P_L Standard'!$D$45/350*'P_L Workings'!AY37*'P_L Workings'!AY100</f>
        <v>0</v>
      </c>
      <c r="AZ139" s="25">
        <f>'P_L Standard'!$D$45/350*'P_L Workings'!AZ37*'P_L Workings'!AZ100</f>
        <v>0</v>
      </c>
      <c r="BA139" s="25">
        <f>'P_L Standard'!$D$45/350*'P_L Workings'!BA37*'P_L Workings'!BA100</f>
        <v>0</v>
      </c>
    </row>
    <row r="140" spans="1:53" ht="13" x14ac:dyDescent="0.3">
      <c r="B140" s="2" t="s">
        <v>115</v>
      </c>
      <c r="C140" s="35">
        <f t="shared" ref="C140:AH140" si="60">SUM(C138:C139)</f>
        <v>0</v>
      </c>
      <c r="D140" s="35">
        <f t="shared" si="60"/>
        <v>0</v>
      </c>
      <c r="E140" s="35">
        <f t="shared" si="60"/>
        <v>6000</v>
      </c>
      <c r="F140" s="35">
        <f t="shared" si="60"/>
        <v>24857.142857142855</v>
      </c>
      <c r="G140" s="35">
        <f t="shared" si="60"/>
        <v>26571.428571428569</v>
      </c>
      <c r="H140" s="35">
        <f t="shared" si="60"/>
        <v>25714.285714285714</v>
      </c>
      <c r="I140" s="35">
        <f t="shared" si="60"/>
        <v>26571.428571428569</v>
      </c>
      <c r="J140" s="35">
        <f t="shared" si="60"/>
        <v>26571.428571428569</v>
      </c>
      <c r="K140" s="35">
        <f t="shared" si="60"/>
        <v>25714.285714285714</v>
      </c>
      <c r="L140" s="35">
        <f t="shared" si="60"/>
        <v>26571.428571428569</v>
      </c>
      <c r="M140" s="35">
        <f t="shared" si="60"/>
        <v>24857.142857142855</v>
      </c>
      <c r="N140" s="35">
        <f t="shared" si="60"/>
        <v>26571.428571428569</v>
      </c>
      <c r="O140" s="35">
        <f t="shared" si="60"/>
        <v>16285.714285714284</v>
      </c>
      <c r="P140" s="35">
        <f t="shared" si="60"/>
        <v>23142.857142857141</v>
      </c>
      <c r="Q140" s="35">
        <f t="shared" si="60"/>
        <v>26571.428571428569</v>
      </c>
      <c r="R140" s="35">
        <f t="shared" si="60"/>
        <v>24857.142857142855</v>
      </c>
      <c r="S140" s="35">
        <f t="shared" si="60"/>
        <v>26571.428571428569</v>
      </c>
      <c r="T140" s="35">
        <f t="shared" si="60"/>
        <v>25714.285714285714</v>
      </c>
      <c r="U140" s="35">
        <f t="shared" si="60"/>
        <v>26571.428571428569</v>
      </c>
      <c r="V140" s="35">
        <f t="shared" si="60"/>
        <v>26571.428571428569</v>
      </c>
      <c r="W140" s="35">
        <f t="shared" si="60"/>
        <v>25714.285714285714</v>
      </c>
      <c r="X140" s="35">
        <f t="shared" si="60"/>
        <v>26571.428571428569</v>
      </c>
      <c r="Y140" s="35">
        <f t="shared" si="60"/>
        <v>24857.142857142855</v>
      </c>
      <c r="Z140" s="35">
        <f t="shared" si="60"/>
        <v>26571.428571428569</v>
      </c>
      <c r="AA140" s="35">
        <f t="shared" si="60"/>
        <v>15428.571428571428</v>
      </c>
      <c r="AB140" s="35">
        <f t="shared" si="60"/>
        <v>24000</v>
      </c>
      <c r="AC140" s="35">
        <f t="shared" si="60"/>
        <v>26571.428571428569</v>
      </c>
      <c r="AD140" s="35">
        <f t="shared" si="60"/>
        <v>24857.142857142855</v>
      </c>
      <c r="AE140" s="35">
        <f t="shared" si="60"/>
        <v>26571.428571428569</v>
      </c>
      <c r="AF140" s="35">
        <f t="shared" si="60"/>
        <v>25714.285714285714</v>
      </c>
      <c r="AG140" s="35">
        <f t="shared" si="60"/>
        <v>26571.428571428569</v>
      </c>
      <c r="AH140" s="35">
        <f t="shared" si="60"/>
        <v>26571.428571428569</v>
      </c>
      <c r="AI140" s="35">
        <f t="shared" ref="AI140:BA140" si="61">SUM(AI138:AI139)</f>
        <v>25714.285714285714</v>
      </c>
      <c r="AJ140" s="35">
        <f t="shared" si="61"/>
        <v>26571.428571428569</v>
      </c>
      <c r="AK140" s="35">
        <f t="shared" si="61"/>
        <v>24857.142857142855</v>
      </c>
      <c r="AL140" s="35">
        <f t="shared" si="61"/>
        <v>26571.428571428569</v>
      </c>
      <c r="AM140" s="35">
        <f t="shared" si="61"/>
        <v>16285.714285714284</v>
      </c>
      <c r="AN140" s="35">
        <f t="shared" si="61"/>
        <v>23142.857142857141</v>
      </c>
      <c r="AO140" s="35">
        <f t="shared" si="61"/>
        <v>26571.428571428569</v>
      </c>
      <c r="AP140" s="35">
        <f t="shared" si="61"/>
        <v>24857.142857142855</v>
      </c>
      <c r="AQ140" s="35">
        <f t="shared" si="61"/>
        <v>26571.428571428569</v>
      </c>
      <c r="AR140" s="35">
        <f t="shared" si="61"/>
        <v>25714.285714285714</v>
      </c>
      <c r="AS140" s="35">
        <f t="shared" si="61"/>
        <v>26571.428571428569</v>
      </c>
      <c r="AT140" s="35">
        <f t="shared" si="61"/>
        <v>26571.428571428569</v>
      </c>
      <c r="AU140" s="35">
        <f t="shared" si="61"/>
        <v>25714.285714285714</v>
      </c>
      <c r="AV140" s="35">
        <f t="shared" si="61"/>
        <v>26571.428571428569</v>
      </c>
      <c r="AW140" s="35">
        <f t="shared" si="61"/>
        <v>24857.142857142855</v>
      </c>
      <c r="AX140" s="35">
        <f t="shared" si="61"/>
        <v>26571.428571428569</v>
      </c>
      <c r="AY140" s="35">
        <f t="shared" si="61"/>
        <v>16285.714285714284</v>
      </c>
      <c r="AZ140" s="35">
        <f t="shared" si="61"/>
        <v>23142.857142857141</v>
      </c>
      <c r="BA140" s="35">
        <f t="shared" si="61"/>
        <v>26571.428571428569</v>
      </c>
    </row>
    <row r="141" spans="1:53" ht="13" x14ac:dyDescent="0.3">
      <c r="B141" s="2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</row>
    <row r="142" spans="1:53" ht="14" x14ac:dyDescent="0.3">
      <c r="B142" s="43" t="s">
        <v>3</v>
      </c>
      <c r="C142" s="35">
        <f t="shared" ref="C142:AH142" si="62">C140+C135+C130+C125+C121+C120+C118+C113+C108+C104+C102+C95+C94</f>
        <v>0</v>
      </c>
      <c r="D142" s="35">
        <f t="shared" si="62"/>
        <v>0</v>
      </c>
      <c r="E142" s="35">
        <f t="shared" si="62"/>
        <v>296779.09794871794</v>
      </c>
      <c r="F142" s="35">
        <f t="shared" si="62"/>
        <v>1236989.6933333334</v>
      </c>
      <c r="G142" s="35">
        <f t="shared" si="62"/>
        <v>1285996.3733333333</v>
      </c>
      <c r="H142" s="35">
        <f t="shared" si="62"/>
        <v>1261493.0333333332</v>
      </c>
      <c r="I142" s="35">
        <f t="shared" si="62"/>
        <v>1285996.3733333333</v>
      </c>
      <c r="J142" s="35">
        <f t="shared" si="62"/>
        <v>1285996.3733333333</v>
      </c>
      <c r="K142" s="35">
        <f t="shared" si="62"/>
        <v>1261493.0333333332</v>
      </c>
      <c r="L142" s="35">
        <f t="shared" si="62"/>
        <v>1285996.3733333333</v>
      </c>
      <c r="M142" s="35">
        <f t="shared" si="62"/>
        <v>1236989.6933333334</v>
      </c>
      <c r="N142" s="35">
        <f t="shared" si="62"/>
        <v>1285996.3733333333</v>
      </c>
      <c r="O142" s="35">
        <f t="shared" si="62"/>
        <v>991956.29333333333</v>
      </c>
      <c r="P142" s="35">
        <f t="shared" si="62"/>
        <v>1187983.0133333334</v>
      </c>
      <c r="Q142" s="35">
        <f t="shared" si="62"/>
        <v>1285996.3733333333</v>
      </c>
      <c r="R142" s="35">
        <f t="shared" si="62"/>
        <v>1236989.6933333334</v>
      </c>
      <c r="S142" s="35">
        <f t="shared" si="62"/>
        <v>1285996.3733333333</v>
      </c>
      <c r="T142" s="35">
        <f t="shared" si="62"/>
        <v>1261493.0333333332</v>
      </c>
      <c r="U142" s="35">
        <f t="shared" si="62"/>
        <v>1285996.3733333333</v>
      </c>
      <c r="V142" s="35">
        <f t="shared" si="62"/>
        <v>1285996.3733333333</v>
      </c>
      <c r="W142" s="35">
        <f t="shared" si="62"/>
        <v>1261493.0333333332</v>
      </c>
      <c r="X142" s="35">
        <f t="shared" si="62"/>
        <v>1285996.3733333333</v>
      </c>
      <c r="Y142" s="35">
        <f t="shared" si="62"/>
        <v>1236989.6933333334</v>
      </c>
      <c r="Z142" s="35">
        <f t="shared" si="62"/>
        <v>1285996.3733333333</v>
      </c>
      <c r="AA142" s="35">
        <f t="shared" si="62"/>
        <v>967452.95333333337</v>
      </c>
      <c r="AB142" s="35">
        <f t="shared" si="62"/>
        <v>1212486.3533333333</v>
      </c>
      <c r="AC142" s="35">
        <f t="shared" si="62"/>
        <v>1285996.3733333333</v>
      </c>
      <c r="AD142" s="35">
        <f t="shared" si="62"/>
        <v>1236989.6933333334</v>
      </c>
      <c r="AE142" s="35">
        <f t="shared" si="62"/>
        <v>1285996.3733333333</v>
      </c>
      <c r="AF142" s="35">
        <f t="shared" si="62"/>
        <v>1261493.0333333332</v>
      </c>
      <c r="AG142" s="35">
        <f t="shared" si="62"/>
        <v>1285996.3733333333</v>
      </c>
      <c r="AH142" s="35">
        <f t="shared" si="62"/>
        <v>1285996.3733333333</v>
      </c>
      <c r="AI142" s="35">
        <f t="shared" ref="AI142:BA142" si="63">AI140+AI135+AI130+AI125+AI121+AI120+AI118+AI113+AI108+AI104+AI102+AI95+AI94</f>
        <v>1261493.0333333332</v>
      </c>
      <c r="AJ142" s="35">
        <f t="shared" si="63"/>
        <v>1285996.3733333333</v>
      </c>
      <c r="AK142" s="35">
        <f t="shared" si="63"/>
        <v>1236989.6933333334</v>
      </c>
      <c r="AL142" s="35">
        <f t="shared" si="63"/>
        <v>1285996.3733333333</v>
      </c>
      <c r="AM142" s="35">
        <f t="shared" si="63"/>
        <v>991956.29333333333</v>
      </c>
      <c r="AN142" s="35">
        <f t="shared" si="63"/>
        <v>1187983.0133333334</v>
      </c>
      <c r="AO142" s="35">
        <f t="shared" si="63"/>
        <v>1285996.3733333333</v>
      </c>
      <c r="AP142" s="35">
        <f t="shared" si="63"/>
        <v>1236989.6933333334</v>
      </c>
      <c r="AQ142" s="35">
        <f t="shared" si="63"/>
        <v>1285996.3733333333</v>
      </c>
      <c r="AR142" s="35">
        <f t="shared" si="63"/>
        <v>1261493.0333333332</v>
      </c>
      <c r="AS142" s="35">
        <f t="shared" si="63"/>
        <v>1285996.3733333333</v>
      </c>
      <c r="AT142" s="35">
        <f t="shared" si="63"/>
        <v>1285996.3733333333</v>
      </c>
      <c r="AU142" s="35">
        <f t="shared" si="63"/>
        <v>1261493.0333333332</v>
      </c>
      <c r="AV142" s="35">
        <f t="shared" si="63"/>
        <v>1285996.3733333333</v>
      </c>
      <c r="AW142" s="35">
        <f t="shared" si="63"/>
        <v>1236989.6933333334</v>
      </c>
      <c r="AX142" s="35">
        <f t="shared" si="63"/>
        <v>1285996.3733333333</v>
      </c>
      <c r="AY142" s="35">
        <f t="shared" si="63"/>
        <v>991956.29333333333</v>
      </c>
      <c r="AZ142" s="35">
        <f t="shared" si="63"/>
        <v>1187983.0133333334</v>
      </c>
      <c r="BA142" s="35">
        <f t="shared" si="63"/>
        <v>1285996.3733333333</v>
      </c>
    </row>
    <row r="144" spans="1:53" ht="15.5" x14ac:dyDescent="0.35">
      <c r="A144" s="42" t="s">
        <v>38</v>
      </c>
    </row>
    <row r="145" spans="1:53" x14ac:dyDescent="0.25">
      <c r="B145" s="1" t="s">
        <v>39</v>
      </c>
      <c r="E145" s="25">
        <v>120000</v>
      </c>
      <c r="F145" s="25">
        <f>'P_L Standard'!$C$49/12</f>
        <v>10000</v>
      </c>
      <c r="G145" s="25">
        <f>'P_L Standard'!$C$49/12</f>
        <v>10000</v>
      </c>
      <c r="H145" s="25">
        <f>'P_L Standard'!$C$49/12</f>
        <v>10000</v>
      </c>
      <c r="I145" s="25">
        <f>'P_L Standard'!$C$49/12</f>
        <v>10000</v>
      </c>
      <c r="J145" s="25">
        <f>'P_L Standard'!$C$49/12</f>
        <v>10000</v>
      </c>
      <c r="K145" s="25">
        <f>'P_L Standard'!$C$49/12</f>
        <v>10000</v>
      </c>
      <c r="L145" s="25">
        <f>'P_L Standard'!$C$49/12</f>
        <v>10000</v>
      </c>
      <c r="M145" s="25">
        <f>'P_L Standard'!$C$49/12</f>
        <v>10000</v>
      </c>
      <c r="N145" s="25">
        <f>'P_L Standard'!$C$49/12</f>
        <v>10000</v>
      </c>
      <c r="O145" s="25">
        <f>'P_L Standard'!$C$49/12</f>
        <v>10000</v>
      </c>
      <c r="P145" s="25">
        <f>'P_L Standard'!$C$49/12</f>
        <v>10000</v>
      </c>
      <c r="Q145" s="25">
        <f>'P_L Standard'!$C$49/12</f>
        <v>10000</v>
      </c>
      <c r="R145" s="25">
        <f>'P_L Standard'!$C$49/12</f>
        <v>10000</v>
      </c>
      <c r="S145" s="25">
        <f>'P_L Standard'!$C$49/12</f>
        <v>10000</v>
      </c>
      <c r="T145" s="25">
        <f>'P_L Standard'!$C$49/12</f>
        <v>10000</v>
      </c>
      <c r="U145" s="25">
        <f>'P_L Standard'!$C$49/12</f>
        <v>10000</v>
      </c>
      <c r="V145" s="25">
        <f>'P_L Standard'!$C$49/12</f>
        <v>10000</v>
      </c>
      <c r="W145" s="25">
        <f>'P_L Standard'!$C$49/12</f>
        <v>10000</v>
      </c>
      <c r="X145" s="25">
        <f>'P_L Standard'!$C$49/12</f>
        <v>10000</v>
      </c>
      <c r="Y145" s="25">
        <f>'P_L Standard'!$C$49/12</f>
        <v>10000</v>
      </c>
      <c r="Z145" s="25">
        <f>'P_L Standard'!$C$49/12</f>
        <v>10000</v>
      </c>
      <c r="AA145" s="25">
        <f>'P_L Standard'!$C$49/12</f>
        <v>10000</v>
      </c>
      <c r="AB145" s="25">
        <f>'P_L Standard'!$C$49/12</f>
        <v>10000</v>
      </c>
      <c r="AC145" s="25">
        <f>'P_L Standard'!$C$49/12</f>
        <v>10000</v>
      </c>
      <c r="AD145" s="25">
        <f>'P_L Standard'!$C$49/12</f>
        <v>10000</v>
      </c>
      <c r="AE145" s="25">
        <f>'P_L Standard'!$C$49/12</f>
        <v>10000</v>
      </c>
      <c r="AF145" s="25">
        <f>'P_L Standard'!$C$49/12</f>
        <v>10000</v>
      </c>
      <c r="AG145" s="25">
        <f>'P_L Standard'!$C$49/12</f>
        <v>10000</v>
      </c>
      <c r="AH145" s="25">
        <f>'P_L Standard'!$C$49/12</f>
        <v>10000</v>
      </c>
      <c r="AI145" s="25">
        <f>'P_L Standard'!$C$49/12</f>
        <v>10000</v>
      </c>
      <c r="AJ145" s="25">
        <f>'P_L Standard'!$C$49/12</f>
        <v>10000</v>
      </c>
      <c r="AK145" s="25">
        <f>'P_L Standard'!$C$49/12</f>
        <v>10000</v>
      </c>
      <c r="AL145" s="25">
        <f>'P_L Standard'!$C$49/12</f>
        <v>10000</v>
      </c>
      <c r="AM145" s="25">
        <f>'P_L Standard'!$C$49/12</f>
        <v>10000</v>
      </c>
      <c r="AN145" s="25">
        <f>'P_L Standard'!$C$49/12</f>
        <v>10000</v>
      </c>
      <c r="AO145" s="25">
        <f>'P_L Standard'!$C$49/12</f>
        <v>10000</v>
      </c>
      <c r="AP145" s="25">
        <f>'P_L Standard'!$C$49/12</f>
        <v>10000</v>
      </c>
      <c r="AQ145" s="25">
        <f>'P_L Standard'!$C$49/12</f>
        <v>10000</v>
      </c>
      <c r="AR145" s="25">
        <f>'P_L Standard'!$C$49/12</f>
        <v>10000</v>
      </c>
      <c r="AS145" s="25">
        <f>'P_L Standard'!$C$49/12</f>
        <v>10000</v>
      </c>
      <c r="AT145" s="25">
        <f>'P_L Standard'!$C$49/12</f>
        <v>10000</v>
      </c>
      <c r="AU145" s="25">
        <f>'P_L Standard'!$C$49/12</f>
        <v>10000</v>
      </c>
      <c r="AV145" s="25">
        <f>'P_L Standard'!$C$49/12</f>
        <v>10000</v>
      </c>
      <c r="AW145" s="25">
        <f>'P_L Standard'!$C$49/12</f>
        <v>10000</v>
      </c>
      <c r="AX145" s="25">
        <f>'P_L Standard'!$C$49/12</f>
        <v>10000</v>
      </c>
      <c r="AY145" s="25">
        <f>'P_L Standard'!$C$49/12</f>
        <v>10000</v>
      </c>
      <c r="AZ145" s="25">
        <f>'P_L Standard'!$C$49/12</f>
        <v>10000</v>
      </c>
      <c r="BA145" s="25">
        <f>'P_L Standard'!$C$49/12</f>
        <v>10000</v>
      </c>
    </row>
    <row r="146" spans="1:53" x14ac:dyDescent="0.25">
      <c r="B146" s="1" t="s">
        <v>40</v>
      </c>
      <c r="F146" s="25">
        <f>'P_L Standard'!$C$50/12</f>
        <v>6250</v>
      </c>
      <c r="G146" s="25">
        <f>'P_L Standard'!$C$50/12</f>
        <v>6250</v>
      </c>
      <c r="H146" s="25">
        <f>'P_L Standard'!$C$50/12</f>
        <v>6250</v>
      </c>
      <c r="I146" s="25">
        <f>'P_L Standard'!$C$50/12</f>
        <v>6250</v>
      </c>
      <c r="J146" s="25">
        <f>'P_L Standard'!$C$50/12</f>
        <v>6250</v>
      </c>
      <c r="K146" s="25">
        <f>'P_L Standard'!$C$50/12</f>
        <v>6250</v>
      </c>
      <c r="L146" s="25">
        <f>'P_L Standard'!$C$50/12</f>
        <v>6250</v>
      </c>
      <c r="M146" s="25">
        <f>'P_L Standard'!$C$50/12</f>
        <v>6250</v>
      </c>
      <c r="N146" s="25">
        <f>'P_L Standard'!$C$50/12</f>
        <v>6250</v>
      </c>
      <c r="O146" s="25">
        <f>'P_L Standard'!$C$50/12</f>
        <v>6250</v>
      </c>
      <c r="P146" s="25">
        <f>'P_L Standard'!$C$50/12</f>
        <v>6250</v>
      </c>
      <c r="Q146" s="25">
        <f>'P_L Standard'!$C$50/12</f>
        <v>6250</v>
      </c>
      <c r="R146" s="25">
        <f>'P_L Standard'!$C$50/12</f>
        <v>6250</v>
      </c>
      <c r="S146" s="25">
        <f>'P_L Standard'!$C$50/12</f>
        <v>6250</v>
      </c>
      <c r="T146" s="25">
        <f>'P_L Standard'!$C$50/12</f>
        <v>6250</v>
      </c>
      <c r="U146" s="25">
        <f>'P_L Standard'!$C$50/12</f>
        <v>6250</v>
      </c>
      <c r="V146" s="25">
        <f>'P_L Standard'!$C$50/12</f>
        <v>6250</v>
      </c>
      <c r="W146" s="25">
        <f>'P_L Standard'!$C$50/12</f>
        <v>6250</v>
      </c>
      <c r="X146" s="25">
        <f>'P_L Standard'!$C$50/12</f>
        <v>6250</v>
      </c>
      <c r="Y146" s="25">
        <f>'P_L Standard'!$C$50/12</f>
        <v>6250</v>
      </c>
      <c r="Z146" s="25">
        <f>'P_L Standard'!$C$50/12</f>
        <v>6250</v>
      </c>
      <c r="AA146" s="25">
        <f>'P_L Standard'!$C$50/12</f>
        <v>6250</v>
      </c>
      <c r="AB146" s="25">
        <f>'P_L Standard'!$C$50/12</f>
        <v>6250</v>
      </c>
      <c r="AC146" s="25">
        <f>'P_L Standard'!$C$50/12</f>
        <v>6250</v>
      </c>
      <c r="AD146" s="25">
        <f>'P_L Standard'!$C$50/12</f>
        <v>6250</v>
      </c>
      <c r="AE146" s="25">
        <f>'P_L Standard'!$C$50/12</f>
        <v>6250</v>
      </c>
      <c r="AF146" s="25">
        <f>'P_L Standard'!$C$50/12</f>
        <v>6250</v>
      </c>
      <c r="AG146" s="25">
        <f>'P_L Standard'!$C$50/12</f>
        <v>6250</v>
      </c>
      <c r="AH146" s="25">
        <f>'P_L Standard'!$C$50/12</f>
        <v>6250</v>
      </c>
      <c r="AI146" s="25">
        <f>'P_L Standard'!$C$50/12</f>
        <v>6250</v>
      </c>
      <c r="AJ146" s="25">
        <f>'P_L Standard'!$C$50/12</f>
        <v>6250</v>
      </c>
      <c r="AK146" s="25">
        <f>'P_L Standard'!$C$50/12</f>
        <v>6250</v>
      </c>
      <c r="AL146" s="25">
        <f>'P_L Standard'!$C$50/12</f>
        <v>6250</v>
      </c>
      <c r="AM146" s="25">
        <f>'P_L Standard'!$C$50/12</f>
        <v>6250</v>
      </c>
      <c r="AN146" s="25">
        <f>'P_L Standard'!$C$50/12</f>
        <v>6250</v>
      </c>
      <c r="AO146" s="25">
        <f>'P_L Standard'!$C$50/12</f>
        <v>6250</v>
      </c>
      <c r="AP146" s="25">
        <f>'P_L Standard'!$C$50/12</f>
        <v>6250</v>
      </c>
      <c r="AQ146" s="25">
        <f>'P_L Standard'!$C$50/12</f>
        <v>6250</v>
      </c>
      <c r="AR146" s="25">
        <f>'P_L Standard'!$C$50/12</f>
        <v>6250</v>
      </c>
      <c r="AS146" s="25">
        <f>'P_L Standard'!$C$50/12</f>
        <v>6250</v>
      </c>
      <c r="AT146" s="25">
        <f>'P_L Standard'!$C$50/12</f>
        <v>6250</v>
      </c>
      <c r="AU146" s="25">
        <f>'P_L Standard'!$C$50/12</f>
        <v>6250</v>
      </c>
      <c r="AV146" s="25">
        <f>'P_L Standard'!$C$50/12</f>
        <v>6250</v>
      </c>
      <c r="AW146" s="25">
        <f>'P_L Standard'!$C$50/12</f>
        <v>6250</v>
      </c>
      <c r="AX146" s="25">
        <f>'P_L Standard'!$C$50/12</f>
        <v>6250</v>
      </c>
      <c r="AY146" s="25">
        <f>'P_L Standard'!$C$50/12</f>
        <v>6250</v>
      </c>
      <c r="AZ146" s="25">
        <f>'P_L Standard'!$C$50/12</f>
        <v>6250</v>
      </c>
      <c r="BA146" s="25">
        <f>'P_L Standard'!$C$50/12</f>
        <v>6250</v>
      </c>
    </row>
    <row r="147" spans="1:53" x14ac:dyDescent="0.25">
      <c r="B147" s="1" t="s">
        <v>41</v>
      </c>
      <c r="F147" s="25">
        <f>'P_L Standard'!$C$51/12</f>
        <v>4166.666666666667</v>
      </c>
      <c r="G147" s="25">
        <f>'P_L Standard'!$C$51/12</f>
        <v>4166.666666666667</v>
      </c>
      <c r="H147" s="25">
        <f>'P_L Standard'!$C$51/12</f>
        <v>4166.666666666667</v>
      </c>
      <c r="I147" s="25">
        <f>'P_L Standard'!$C$51/12</f>
        <v>4166.666666666667</v>
      </c>
      <c r="J147" s="25">
        <f>'P_L Standard'!$C$51/12</f>
        <v>4166.666666666667</v>
      </c>
      <c r="K147" s="25">
        <f>'P_L Standard'!$C$51/12</f>
        <v>4166.666666666667</v>
      </c>
      <c r="L147" s="25">
        <f>'P_L Standard'!$C$51/12</f>
        <v>4166.666666666667</v>
      </c>
      <c r="M147" s="25">
        <f>'P_L Standard'!$C$51/12</f>
        <v>4166.666666666667</v>
      </c>
      <c r="N147" s="25">
        <f>'P_L Standard'!$C$51/12</f>
        <v>4166.666666666667</v>
      </c>
      <c r="O147" s="25">
        <f>'P_L Standard'!$C$51/12</f>
        <v>4166.666666666667</v>
      </c>
      <c r="P147" s="25">
        <f>'P_L Standard'!$C$51/12</f>
        <v>4166.666666666667</v>
      </c>
      <c r="Q147" s="25">
        <f>'P_L Standard'!$C$51/12</f>
        <v>4166.666666666667</v>
      </c>
      <c r="R147" s="25">
        <f>'P_L Standard'!$C$51/12</f>
        <v>4166.666666666667</v>
      </c>
      <c r="S147" s="25">
        <f>'P_L Standard'!$C$51/12</f>
        <v>4166.666666666667</v>
      </c>
      <c r="T147" s="25">
        <f>'P_L Standard'!$C$51/12</f>
        <v>4166.666666666667</v>
      </c>
      <c r="U147" s="25">
        <f>'P_L Standard'!$C$51/12</f>
        <v>4166.666666666667</v>
      </c>
      <c r="V147" s="25">
        <f>'P_L Standard'!$C$51/12</f>
        <v>4166.666666666667</v>
      </c>
      <c r="W147" s="25">
        <f>'P_L Standard'!$C$51/12</f>
        <v>4166.666666666667</v>
      </c>
      <c r="X147" s="25">
        <f>'P_L Standard'!$C$51/12</f>
        <v>4166.666666666667</v>
      </c>
      <c r="Y147" s="25">
        <f>'P_L Standard'!$C$51/12</f>
        <v>4166.666666666667</v>
      </c>
      <c r="Z147" s="25">
        <f>'P_L Standard'!$C$51/12</f>
        <v>4166.666666666667</v>
      </c>
      <c r="AA147" s="25">
        <f>'P_L Standard'!$C$51/12</f>
        <v>4166.666666666667</v>
      </c>
      <c r="AB147" s="25">
        <f>'P_L Standard'!$C$51/12</f>
        <v>4166.666666666667</v>
      </c>
      <c r="AC147" s="25">
        <f>'P_L Standard'!$C$51/12</f>
        <v>4166.666666666667</v>
      </c>
      <c r="AD147" s="25">
        <f>'P_L Standard'!$C$51/12</f>
        <v>4166.666666666667</v>
      </c>
      <c r="AE147" s="25">
        <f>'P_L Standard'!$C$51/12</f>
        <v>4166.666666666667</v>
      </c>
      <c r="AF147" s="25">
        <f>'P_L Standard'!$C$51/12</f>
        <v>4166.666666666667</v>
      </c>
      <c r="AG147" s="25">
        <f>'P_L Standard'!$C$51/12</f>
        <v>4166.666666666667</v>
      </c>
      <c r="AH147" s="25">
        <f>'P_L Standard'!$C$51/12</f>
        <v>4166.666666666667</v>
      </c>
      <c r="AI147" s="25">
        <f>'P_L Standard'!$C$51/12</f>
        <v>4166.666666666667</v>
      </c>
      <c r="AJ147" s="25">
        <f>'P_L Standard'!$C$51/12</f>
        <v>4166.666666666667</v>
      </c>
      <c r="AK147" s="25">
        <f>'P_L Standard'!$C$51/12</f>
        <v>4166.666666666667</v>
      </c>
      <c r="AL147" s="25">
        <f>'P_L Standard'!$C$51/12</f>
        <v>4166.666666666667</v>
      </c>
      <c r="AM147" s="25">
        <f>'P_L Standard'!$C$51/12</f>
        <v>4166.666666666667</v>
      </c>
      <c r="AN147" s="25">
        <f>'P_L Standard'!$C$51/12</f>
        <v>4166.666666666667</v>
      </c>
      <c r="AO147" s="25">
        <f>'P_L Standard'!$C$51/12</f>
        <v>4166.666666666667</v>
      </c>
      <c r="AP147" s="25">
        <f>'P_L Standard'!$C$51/12</f>
        <v>4166.666666666667</v>
      </c>
      <c r="AQ147" s="25">
        <f>'P_L Standard'!$C$51/12</f>
        <v>4166.666666666667</v>
      </c>
      <c r="AR147" s="25">
        <f>'P_L Standard'!$C$51/12</f>
        <v>4166.666666666667</v>
      </c>
      <c r="AS147" s="25">
        <f>'P_L Standard'!$C$51/12</f>
        <v>4166.666666666667</v>
      </c>
      <c r="AT147" s="25">
        <f>'P_L Standard'!$C$51/12</f>
        <v>4166.666666666667</v>
      </c>
      <c r="AU147" s="25">
        <f>'P_L Standard'!$C$51/12</f>
        <v>4166.666666666667</v>
      </c>
      <c r="AV147" s="25">
        <f>'P_L Standard'!$C$51/12</f>
        <v>4166.666666666667</v>
      </c>
      <c r="AW147" s="25">
        <f>'P_L Standard'!$C$51/12</f>
        <v>4166.666666666667</v>
      </c>
      <c r="AX147" s="25">
        <f>'P_L Standard'!$C$51/12</f>
        <v>4166.666666666667</v>
      </c>
      <c r="AY147" s="25">
        <f>'P_L Standard'!$C$51/12</f>
        <v>4166.666666666667</v>
      </c>
      <c r="AZ147" s="25">
        <f>'P_L Standard'!$C$51/12</f>
        <v>4166.666666666667</v>
      </c>
      <c r="BA147" s="25">
        <f>'P_L Standard'!$C$51/12</f>
        <v>4166.666666666667</v>
      </c>
    </row>
    <row r="148" spans="1:53" x14ac:dyDescent="0.25">
      <c r="B148" s="1" t="s">
        <v>42</v>
      </c>
      <c r="E148" s="25">
        <v>480000</v>
      </c>
      <c r="F148" s="25">
        <f>'P_L Standard'!$C$52/12</f>
        <v>8333.3333333333339</v>
      </c>
      <c r="G148" s="25">
        <f>'P_L Standard'!$C$52/12</f>
        <v>8333.3333333333339</v>
      </c>
      <c r="H148" s="25">
        <f>'P_L Standard'!$C$52/12</f>
        <v>8333.3333333333339</v>
      </c>
      <c r="I148" s="25">
        <f>'P_L Standard'!$C$52/12</f>
        <v>8333.3333333333339</v>
      </c>
      <c r="J148" s="25">
        <f>'P_L Standard'!$C$52/12</f>
        <v>8333.3333333333339</v>
      </c>
      <c r="K148" s="25">
        <f>'P_L Standard'!$C$52/12</f>
        <v>8333.3333333333339</v>
      </c>
      <c r="L148" s="25">
        <f>'P_L Standard'!$C$52/12</f>
        <v>8333.3333333333339</v>
      </c>
      <c r="M148" s="25">
        <f>'P_L Standard'!$C$52/12</f>
        <v>8333.3333333333339</v>
      </c>
      <c r="N148" s="25">
        <f>'P_L Standard'!$C$52/12</f>
        <v>8333.3333333333339</v>
      </c>
      <c r="O148" s="25">
        <f>'P_L Standard'!$C$52/12</f>
        <v>8333.3333333333339</v>
      </c>
      <c r="P148" s="25">
        <f>'P_L Standard'!$C$52/12</f>
        <v>8333.3333333333339</v>
      </c>
      <c r="Q148" s="25">
        <f>'P_L Standard'!$C$52/12</f>
        <v>8333.3333333333339</v>
      </c>
      <c r="R148" s="25">
        <f>'P_L Standard'!$C$52/12</f>
        <v>8333.3333333333339</v>
      </c>
      <c r="S148" s="25">
        <f>'P_L Standard'!$C$52/12</f>
        <v>8333.3333333333339</v>
      </c>
      <c r="T148" s="25">
        <f>'P_L Standard'!$C$52/12</f>
        <v>8333.3333333333339</v>
      </c>
      <c r="U148" s="25">
        <f>'P_L Standard'!$C$52/12</f>
        <v>8333.3333333333339</v>
      </c>
      <c r="V148" s="25">
        <f>'P_L Standard'!$C$52/12</f>
        <v>8333.3333333333339</v>
      </c>
      <c r="W148" s="25">
        <f>'P_L Standard'!$C$52/12</f>
        <v>8333.3333333333339</v>
      </c>
      <c r="X148" s="25">
        <f>'P_L Standard'!$C$52/12</f>
        <v>8333.3333333333339</v>
      </c>
      <c r="Y148" s="25">
        <f>'P_L Standard'!$C$52/12</f>
        <v>8333.3333333333339</v>
      </c>
      <c r="Z148" s="25">
        <f>'P_L Standard'!$C$52/12</f>
        <v>8333.3333333333339</v>
      </c>
      <c r="AA148" s="25">
        <f>'P_L Standard'!$C$52/12</f>
        <v>8333.3333333333339</v>
      </c>
      <c r="AB148" s="25">
        <f>'P_L Standard'!$C$52/12</f>
        <v>8333.3333333333339</v>
      </c>
      <c r="AC148" s="25">
        <f>'P_L Standard'!$C$52/12</f>
        <v>8333.3333333333339</v>
      </c>
      <c r="AD148" s="25">
        <f>'P_L Standard'!$C$52/12</f>
        <v>8333.3333333333339</v>
      </c>
      <c r="AE148" s="25">
        <f>'P_L Standard'!$C$52/12</f>
        <v>8333.3333333333339</v>
      </c>
      <c r="AF148" s="25">
        <f>'P_L Standard'!$C$52/12</f>
        <v>8333.3333333333339</v>
      </c>
      <c r="AG148" s="25">
        <f>'P_L Standard'!$C$52/12</f>
        <v>8333.3333333333339</v>
      </c>
      <c r="AH148" s="25">
        <f>'P_L Standard'!$C$52/12</f>
        <v>8333.3333333333339</v>
      </c>
      <c r="AI148" s="25">
        <f>'P_L Standard'!$C$52/12</f>
        <v>8333.3333333333339</v>
      </c>
      <c r="AJ148" s="25">
        <f>'P_L Standard'!$C$52/12</f>
        <v>8333.3333333333339</v>
      </c>
      <c r="AK148" s="25">
        <f>'P_L Standard'!$C$52/12</f>
        <v>8333.3333333333339</v>
      </c>
      <c r="AL148" s="25">
        <f>'P_L Standard'!$C$52/12</f>
        <v>8333.3333333333339</v>
      </c>
      <c r="AM148" s="25">
        <f>'P_L Standard'!$C$52/12</f>
        <v>8333.3333333333339</v>
      </c>
      <c r="AN148" s="25">
        <f>'P_L Standard'!$C$52/12</f>
        <v>8333.3333333333339</v>
      </c>
      <c r="AO148" s="25">
        <f>'P_L Standard'!$C$52/12</f>
        <v>8333.3333333333339</v>
      </c>
      <c r="AP148" s="25">
        <f>'P_L Standard'!$C$52/12</f>
        <v>8333.3333333333339</v>
      </c>
      <c r="AQ148" s="25">
        <f>'P_L Standard'!$C$52/12</f>
        <v>8333.3333333333339</v>
      </c>
      <c r="AR148" s="25">
        <f>'P_L Standard'!$C$52/12</f>
        <v>8333.3333333333339</v>
      </c>
      <c r="AS148" s="25">
        <f>'P_L Standard'!$C$52/12</f>
        <v>8333.3333333333339</v>
      </c>
      <c r="AT148" s="25">
        <f>'P_L Standard'!$C$52/12</f>
        <v>8333.3333333333339</v>
      </c>
      <c r="AU148" s="25">
        <f>'P_L Standard'!$C$52/12</f>
        <v>8333.3333333333339</v>
      </c>
      <c r="AV148" s="25">
        <f>'P_L Standard'!$C$52/12</f>
        <v>8333.3333333333339</v>
      </c>
      <c r="AW148" s="25">
        <f>'P_L Standard'!$C$52/12</f>
        <v>8333.3333333333339</v>
      </c>
      <c r="AX148" s="25">
        <f>'P_L Standard'!$C$52/12</f>
        <v>8333.3333333333339</v>
      </c>
      <c r="AY148" s="25">
        <f>'P_L Standard'!$C$52/12</f>
        <v>8333.3333333333339</v>
      </c>
      <c r="AZ148" s="25">
        <f>'P_L Standard'!$C$52/12</f>
        <v>8333.3333333333339</v>
      </c>
      <c r="BA148" s="25">
        <f>'P_L Standard'!$C$52/12</f>
        <v>8333.3333333333339</v>
      </c>
    </row>
    <row r="149" spans="1:53" ht="14" x14ac:dyDescent="0.3">
      <c r="B149" s="43" t="s">
        <v>3</v>
      </c>
      <c r="C149" s="35">
        <f t="shared" ref="C149:AH149" si="64">SUM(C145:C148)</f>
        <v>0</v>
      </c>
      <c r="D149" s="35">
        <f t="shared" si="64"/>
        <v>0</v>
      </c>
      <c r="E149" s="35">
        <f t="shared" si="64"/>
        <v>600000</v>
      </c>
      <c r="F149" s="35">
        <f t="shared" si="64"/>
        <v>28750</v>
      </c>
      <c r="G149" s="35">
        <f t="shared" si="64"/>
        <v>28750</v>
      </c>
      <c r="H149" s="35">
        <f t="shared" si="64"/>
        <v>28750</v>
      </c>
      <c r="I149" s="35">
        <f t="shared" si="64"/>
        <v>28750</v>
      </c>
      <c r="J149" s="35">
        <f t="shared" si="64"/>
        <v>28750</v>
      </c>
      <c r="K149" s="35">
        <f t="shared" si="64"/>
        <v>28750</v>
      </c>
      <c r="L149" s="35">
        <f t="shared" si="64"/>
        <v>28750</v>
      </c>
      <c r="M149" s="35">
        <f t="shared" si="64"/>
        <v>28750</v>
      </c>
      <c r="N149" s="35">
        <f t="shared" si="64"/>
        <v>28750</v>
      </c>
      <c r="O149" s="35">
        <f t="shared" si="64"/>
        <v>28750</v>
      </c>
      <c r="P149" s="35">
        <f t="shared" si="64"/>
        <v>28750</v>
      </c>
      <c r="Q149" s="35">
        <f t="shared" si="64"/>
        <v>28750</v>
      </c>
      <c r="R149" s="35">
        <f t="shared" si="64"/>
        <v>28750</v>
      </c>
      <c r="S149" s="35">
        <f t="shared" si="64"/>
        <v>28750</v>
      </c>
      <c r="T149" s="35">
        <f t="shared" si="64"/>
        <v>28750</v>
      </c>
      <c r="U149" s="35">
        <f t="shared" si="64"/>
        <v>28750</v>
      </c>
      <c r="V149" s="35">
        <f t="shared" si="64"/>
        <v>28750</v>
      </c>
      <c r="W149" s="35">
        <f t="shared" si="64"/>
        <v>28750</v>
      </c>
      <c r="X149" s="35">
        <f t="shared" si="64"/>
        <v>28750</v>
      </c>
      <c r="Y149" s="35">
        <f t="shared" si="64"/>
        <v>28750</v>
      </c>
      <c r="Z149" s="35">
        <f t="shared" si="64"/>
        <v>28750</v>
      </c>
      <c r="AA149" s="35">
        <f t="shared" si="64"/>
        <v>28750</v>
      </c>
      <c r="AB149" s="35">
        <f t="shared" si="64"/>
        <v>28750</v>
      </c>
      <c r="AC149" s="35">
        <f t="shared" si="64"/>
        <v>28750</v>
      </c>
      <c r="AD149" s="35">
        <f t="shared" si="64"/>
        <v>28750</v>
      </c>
      <c r="AE149" s="35">
        <f t="shared" si="64"/>
        <v>28750</v>
      </c>
      <c r="AF149" s="35">
        <f t="shared" si="64"/>
        <v>28750</v>
      </c>
      <c r="AG149" s="35">
        <f t="shared" si="64"/>
        <v>28750</v>
      </c>
      <c r="AH149" s="35">
        <f t="shared" si="64"/>
        <v>28750</v>
      </c>
      <c r="AI149" s="35">
        <f t="shared" ref="AI149:BA149" si="65">SUM(AI145:AI148)</f>
        <v>28750</v>
      </c>
      <c r="AJ149" s="35">
        <f t="shared" si="65"/>
        <v>28750</v>
      </c>
      <c r="AK149" s="35">
        <f t="shared" si="65"/>
        <v>28750</v>
      </c>
      <c r="AL149" s="35">
        <f t="shared" si="65"/>
        <v>28750</v>
      </c>
      <c r="AM149" s="35">
        <f t="shared" si="65"/>
        <v>28750</v>
      </c>
      <c r="AN149" s="35">
        <f t="shared" si="65"/>
        <v>28750</v>
      </c>
      <c r="AO149" s="35">
        <f t="shared" si="65"/>
        <v>28750</v>
      </c>
      <c r="AP149" s="35">
        <f t="shared" si="65"/>
        <v>28750</v>
      </c>
      <c r="AQ149" s="35">
        <f t="shared" si="65"/>
        <v>28750</v>
      </c>
      <c r="AR149" s="35">
        <f t="shared" si="65"/>
        <v>28750</v>
      </c>
      <c r="AS149" s="35">
        <f t="shared" si="65"/>
        <v>28750</v>
      </c>
      <c r="AT149" s="35">
        <f t="shared" si="65"/>
        <v>28750</v>
      </c>
      <c r="AU149" s="35">
        <f t="shared" si="65"/>
        <v>28750</v>
      </c>
      <c r="AV149" s="35">
        <f t="shared" si="65"/>
        <v>28750</v>
      </c>
      <c r="AW149" s="35">
        <f t="shared" si="65"/>
        <v>28750</v>
      </c>
      <c r="AX149" s="35">
        <f t="shared" si="65"/>
        <v>28750</v>
      </c>
      <c r="AY149" s="35">
        <f t="shared" si="65"/>
        <v>28750</v>
      </c>
      <c r="AZ149" s="35">
        <f t="shared" si="65"/>
        <v>28750</v>
      </c>
      <c r="BA149" s="35">
        <f t="shared" si="65"/>
        <v>28750</v>
      </c>
    </row>
    <row r="151" spans="1:53" ht="15.5" x14ac:dyDescent="0.35">
      <c r="A151" s="42" t="s">
        <v>43</v>
      </c>
    </row>
    <row r="152" spans="1:53" x14ac:dyDescent="0.25">
      <c r="B152" s="1" t="s">
        <v>44</v>
      </c>
      <c r="E152" s="25">
        <v>23750</v>
      </c>
      <c r="F152" s="25">
        <f>'P_L Standard'!$C$56/12</f>
        <v>23750</v>
      </c>
      <c r="G152" s="25">
        <f>'P_L Standard'!$C$56/12</f>
        <v>23750</v>
      </c>
      <c r="H152" s="25">
        <f>'P_L Standard'!$C$56/12</f>
        <v>23750</v>
      </c>
      <c r="I152" s="25">
        <f>'P_L Standard'!$C$56/12</f>
        <v>23750</v>
      </c>
      <c r="J152" s="25">
        <f>'P_L Standard'!$C$56/12</f>
        <v>23750</v>
      </c>
      <c r="K152" s="25">
        <f>'P_L Standard'!$C$56/12</f>
        <v>23750</v>
      </c>
      <c r="L152" s="25">
        <f>'P_L Standard'!$C$56/12</f>
        <v>23750</v>
      </c>
      <c r="M152" s="25">
        <f>'P_L Standard'!$C$56/12</f>
        <v>23750</v>
      </c>
      <c r="N152" s="25">
        <f>'P_L Standard'!$C$56/12</f>
        <v>23750</v>
      </c>
      <c r="O152" s="25">
        <f>'P_L Standard'!$C$56/12</f>
        <v>23750</v>
      </c>
      <c r="P152" s="25">
        <f>'P_L Standard'!$C$56/12</f>
        <v>23750</v>
      </c>
      <c r="Q152" s="25">
        <f>'P_L Standard'!$C$56/12</f>
        <v>23750</v>
      </c>
      <c r="R152" s="25">
        <f>'P_L Standard'!$C$56/12</f>
        <v>23750</v>
      </c>
      <c r="S152" s="25">
        <f>'P_L Standard'!$C$56/12</f>
        <v>23750</v>
      </c>
      <c r="T152" s="25">
        <f>'P_L Standard'!$C$56/12</f>
        <v>23750</v>
      </c>
      <c r="U152" s="25">
        <f>'P_L Standard'!$C$56/12</f>
        <v>23750</v>
      </c>
      <c r="V152" s="25">
        <f>'P_L Standard'!$C$56/12</f>
        <v>23750</v>
      </c>
      <c r="W152" s="25">
        <f>'P_L Standard'!$C$56/12</f>
        <v>23750</v>
      </c>
      <c r="X152" s="25">
        <f>'P_L Standard'!$C$56/12</f>
        <v>23750</v>
      </c>
      <c r="Y152" s="25">
        <f>'P_L Standard'!$C$56/12</f>
        <v>23750</v>
      </c>
      <c r="Z152" s="25">
        <f>'P_L Standard'!$C$56/12</f>
        <v>23750</v>
      </c>
      <c r="AA152" s="25">
        <f>'P_L Standard'!$C$56/12</f>
        <v>23750</v>
      </c>
      <c r="AB152" s="25">
        <f>'P_L Standard'!$C$56/12</f>
        <v>23750</v>
      </c>
      <c r="AC152" s="25">
        <f>'P_L Standard'!$C$56/12</f>
        <v>23750</v>
      </c>
      <c r="AD152" s="25">
        <f>'P_L Standard'!$C$56/12</f>
        <v>23750</v>
      </c>
      <c r="AE152" s="25">
        <f>'P_L Standard'!$C$56/12</f>
        <v>23750</v>
      </c>
      <c r="AF152" s="25">
        <f>'P_L Standard'!$C$56/12</f>
        <v>23750</v>
      </c>
      <c r="AG152" s="25">
        <f>'P_L Standard'!$C$56/12</f>
        <v>23750</v>
      </c>
      <c r="AH152" s="25">
        <f>'P_L Standard'!$C$56/12</f>
        <v>23750</v>
      </c>
      <c r="AI152" s="25">
        <f>'P_L Standard'!$C$56/12</f>
        <v>23750</v>
      </c>
      <c r="AJ152" s="25">
        <f>'P_L Standard'!$C$56/12</f>
        <v>23750</v>
      </c>
      <c r="AK152" s="25">
        <f>'P_L Standard'!$C$56/12</f>
        <v>23750</v>
      </c>
      <c r="AL152" s="25">
        <f>'P_L Standard'!$C$56/12</f>
        <v>23750</v>
      </c>
      <c r="AM152" s="25">
        <f>'P_L Standard'!$C$56/12</f>
        <v>23750</v>
      </c>
      <c r="AN152" s="25">
        <f>'P_L Standard'!$C$56/12</f>
        <v>23750</v>
      </c>
      <c r="AO152" s="25">
        <f>'P_L Standard'!$C$56/12</f>
        <v>23750</v>
      </c>
      <c r="AP152" s="25">
        <f>'P_L Standard'!$C$56/12</f>
        <v>23750</v>
      </c>
      <c r="AQ152" s="25">
        <f>'P_L Standard'!$C$56/12</f>
        <v>23750</v>
      </c>
      <c r="AR152" s="25">
        <f>'P_L Standard'!$C$56/12</f>
        <v>23750</v>
      </c>
      <c r="AS152" s="25">
        <f>'P_L Standard'!$C$56/12</f>
        <v>23750</v>
      </c>
      <c r="AT152" s="25">
        <f>'P_L Standard'!$C$56/12</f>
        <v>23750</v>
      </c>
      <c r="AU152" s="25">
        <f>'P_L Standard'!$C$56/12</f>
        <v>23750</v>
      </c>
      <c r="AV152" s="25">
        <f>'P_L Standard'!$C$56/12</f>
        <v>23750</v>
      </c>
      <c r="AW152" s="25">
        <f>'P_L Standard'!$C$56/12</f>
        <v>23750</v>
      </c>
      <c r="AX152" s="25">
        <f>'P_L Standard'!$C$56/12</f>
        <v>23750</v>
      </c>
      <c r="AY152" s="25">
        <f>'P_L Standard'!$C$56/12</f>
        <v>23750</v>
      </c>
      <c r="AZ152" s="25">
        <f>'P_L Standard'!$C$56/12</f>
        <v>23750</v>
      </c>
      <c r="BA152" s="25">
        <f>'P_L Standard'!$C$56/12</f>
        <v>23750</v>
      </c>
    </row>
    <row r="153" spans="1:53" x14ac:dyDescent="0.25">
      <c r="B153" s="1" t="s">
        <v>45</v>
      </c>
      <c r="E153" s="25">
        <v>0</v>
      </c>
      <c r="F153" s="25">
        <f>'P_L Standard'!$C$57/12</f>
        <v>3375</v>
      </c>
      <c r="G153" s="25">
        <f>'P_L Standard'!$C$57/12</f>
        <v>3375</v>
      </c>
      <c r="H153" s="25">
        <f>'P_L Standard'!$C$57/12</f>
        <v>3375</v>
      </c>
      <c r="I153" s="25">
        <f>'P_L Standard'!$C$57/12</f>
        <v>3375</v>
      </c>
      <c r="J153" s="25">
        <f>'P_L Standard'!$C$57/12</f>
        <v>3375</v>
      </c>
      <c r="K153" s="25">
        <f>'P_L Standard'!$C$57/12</f>
        <v>3375</v>
      </c>
      <c r="L153" s="25">
        <f>'P_L Standard'!$C$57/12</f>
        <v>3375</v>
      </c>
      <c r="M153" s="25">
        <f>'P_L Standard'!$C$57/12</f>
        <v>3375</v>
      </c>
      <c r="N153" s="25">
        <f>'P_L Standard'!$C$57/12</f>
        <v>3375</v>
      </c>
      <c r="O153" s="25">
        <f>'P_L Standard'!$C$57/12</f>
        <v>3375</v>
      </c>
      <c r="P153" s="25">
        <f>'P_L Standard'!$C$57/12</f>
        <v>3375</v>
      </c>
      <c r="Q153" s="25">
        <f>'P_L Standard'!$C$57/12</f>
        <v>3375</v>
      </c>
      <c r="R153" s="25">
        <f>'P_L Standard'!$C$57/12</f>
        <v>3375</v>
      </c>
      <c r="S153" s="25">
        <f>'P_L Standard'!$C$57/12</f>
        <v>3375</v>
      </c>
      <c r="T153" s="25">
        <f>'P_L Standard'!$C$57/12</f>
        <v>3375</v>
      </c>
      <c r="U153" s="25">
        <f>'P_L Standard'!$C$57/12</f>
        <v>3375</v>
      </c>
      <c r="V153" s="25">
        <f>'P_L Standard'!$C$57/12</f>
        <v>3375</v>
      </c>
      <c r="W153" s="25">
        <f>'P_L Standard'!$C$57/12</f>
        <v>3375</v>
      </c>
      <c r="X153" s="25">
        <f>'P_L Standard'!$C$57/12</f>
        <v>3375</v>
      </c>
      <c r="Y153" s="25">
        <f>'P_L Standard'!$C$57/12</f>
        <v>3375</v>
      </c>
      <c r="Z153" s="25">
        <f>'P_L Standard'!$C$57/12</f>
        <v>3375</v>
      </c>
      <c r="AA153" s="25">
        <f>'P_L Standard'!$C$57/12</f>
        <v>3375</v>
      </c>
      <c r="AB153" s="25">
        <f>'P_L Standard'!$C$57/12</f>
        <v>3375</v>
      </c>
      <c r="AC153" s="25">
        <f>'P_L Standard'!$C$57/12</f>
        <v>3375</v>
      </c>
      <c r="AD153" s="25">
        <f>'P_L Standard'!$C$57/12</f>
        <v>3375</v>
      </c>
      <c r="AE153" s="25">
        <f>'P_L Standard'!$C$57/12</f>
        <v>3375</v>
      </c>
      <c r="AF153" s="25">
        <f>'P_L Standard'!$C$57/12</f>
        <v>3375</v>
      </c>
      <c r="AG153" s="25">
        <f>'P_L Standard'!$C$57/12</f>
        <v>3375</v>
      </c>
      <c r="AH153" s="25">
        <f>'P_L Standard'!$C$57/12</f>
        <v>3375</v>
      </c>
      <c r="AI153" s="25">
        <f>'P_L Standard'!$C$57/12</f>
        <v>3375</v>
      </c>
      <c r="AJ153" s="25">
        <f>'P_L Standard'!$C$57/12</f>
        <v>3375</v>
      </c>
      <c r="AK153" s="25">
        <f>'P_L Standard'!$C$57/12</f>
        <v>3375</v>
      </c>
      <c r="AL153" s="25">
        <f>'P_L Standard'!$C$57/12</f>
        <v>3375</v>
      </c>
      <c r="AM153" s="25">
        <f>'P_L Standard'!$C$57/12</f>
        <v>3375</v>
      </c>
      <c r="AN153" s="25">
        <f>'P_L Standard'!$C$57/12</f>
        <v>3375</v>
      </c>
      <c r="AO153" s="25">
        <f>'P_L Standard'!$C$57/12</f>
        <v>3375</v>
      </c>
      <c r="AP153" s="25">
        <f>'P_L Standard'!$C$57/12</f>
        <v>3375</v>
      </c>
      <c r="AQ153" s="25">
        <f>'P_L Standard'!$C$57/12</f>
        <v>3375</v>
      </c>
      <c r="AR153" s="25">
        <f>'P_L Standard'!$C$57/12</f>
        <v>3375</v>
      </c>
      <c r="AS153" s="25">
        <f>'P_L Standard'!$C$57/12</f>
        <v>3375</v>
      </c>
      <c r="AT153" s="25">
        <f>'P_L Standard'!$C$57/12</f>
        <v>3375</v>
      </c>
      <c r="AU153" s="25">
        <f>'P_L Standard'!$C$57/12</f>
        <v>3375</v>
      </c>
      <c r="AV153" s="25">
        <f>'P_L Standard'!$C$57/12</f>
        <v>3375</v>
      </c>
      <c r="AW153" s="25">
        <f>'P_L Standard'!$C$57/12</f>
        <v>3375</v>
      </c>
      <c r="AX153" s="25">
        <f>'P_L Standard'!$C$57/12</f>
        <v>3375</v>
      </c>
      <c r="AY153" s="25">
        <f>'P_L Standard'!$C$57/12</f>
        <v>3375</v>
      </c>
      <c r="AZ153" s="25">
        <f>'P_L Standard'!$C$57/12</f>
        <v>3375</v>
      </c>
      <c r="BA153" s="25">
        <f>'P_L Standard'!$C$57/12</f>
        <v>3375</v>
      </c>
    </row>
    <row r="154" spans="1:53" x14ac:dyDescent="0.25">
      <c r="B154" s="1" t="s">
        <v>46</v>
      </c>
      <c r="F154" s="25">
        <f>'P_L Standard'!$C$58/12</f>
        <v>20833.333333333332</v>
      </c>
      <c r="G154" s="25">
        <f>'P_L Standard'!$C$58/12</f>
        <v>20833.333333333332</v>
      </c>
      <c r="H154" s="25">
        <f>'P_L Standard'!$C$58/12</f>
        <v>20833.333333333332</v>
      </c>
      <c r="I154" s="25">
        <f>'P_L Standard'!$C$58/12</f>
        <v>20833.333333333332</v>
      </c>
      <c r="J154" s="25">
        <f>'P_L Standard'!$C$58/12</f>
        <v>20833.333333333332</v>
      </c>
      <c r="K154" s="25">
        <f>'P_L Standard'!$C$58/12</f>
        <v>20833.333333333332</v>
      </c>
      <c r="L154" s="25">
        <f>'P_L Standard'!$C$58/12</f>
        <v>20833.333333333332</v>
      </c>
      <c r="M154" s="25">
        <f>'P_L Standard'!$C$58/12</f>
        <v>20833.333333333332</v>
      </c>
      <c r="N154" s="25">
        <f>'P_L Standard'!$C$58/12</f>
        <v>20833.333333333332</v>
      </c>
      <c r="O154" s="25">
        <f>'P_L Standard'!$C$58/12</f>
        <v>20833.333333333332</v>
      </c>
      <c r="P154" s="25">
        <f>'P_L Standard'!$C$58/12</f>
        <v>20833.333333333332</v>
      </c>
      <c r="Q154" s="25">
        <f>'P_L Standard'!$C$58/12</f>
        <v>20833.333333333332</v>
      </c>
      <c r="R154" s="25">
        <f>'P_L Standard'!$C$58/12</f>
        <v>20833.333333333332</v>
      </c>
      <c r="S154" s="25">
        <f>'P_L Standard'!$C$58/12</f>
        <v>20833.333333333332</v>
      </c>
      <c r="T154" s="25">
        <f>'P_L Standard'!$C$58/12</f>
        <v>20833.333333333332</v>
      </c>
      <c r="U154" s="25">
        <f>'P_L Standard'!$C$58/12</f>
        <v>20833.333333333332</v>
      </c>
      <c r="V154" s="25">
        <f>'P_L Standard'!$C$58/12</f>
        <v>20833.333333333332</v>
      </c>
      <c r="W154" s="25">
        <f>'P_L Standard'!$C$58/12</f>
        <v>20833.333333333332</v>
      </c>
      <c r="X154" s="25">
        <f>'P_L Standard'!$C$58/12</f>
        <v>20833.333333333332</v>
      </c>
      <c r="Y154" s="25">
        <f>'P_L Standard'!$C$58/12</f>
        <v>20833.333333333332</v>
      </c>
      <c r="Z154" s="25">
        <f>'P_L Standard'!$C$58/12</f>
        <v>20833.333333333332</v>
      </c>
      <c r="AA154" s="25">
        <f>'P_L Standard'!$C$58/12</f>
        <v>20833.333333333332</v>
      </c>
      <c r="AB154" s="25">
        <f>'P_L Standard'!$C$58/12</f>
        <v>20833.333333333332</v>
      </c>
      <c r="AC154" s="25">
        <f>'P_L Standard'!$C$58/12</f>
        <v>20833.333333333332</v>
      </c>
      <c r="AD154" s="25">
        <f>'P_L Standard'!$C$58/12</f>
        <v>20833.333333333332</v>
      </c>
      <c r="AE154" s="25">
        <f>'P_L Standard'!$C$58/12</f>
        <v>20833.333333333332</v>
      </c>
      <c r="AF154" s="25">
        <f>'P_L Standard'!$C$58/12</f>
        <v>20833.333333333332</v>
      </c>
      <c r="AG154" s="25">
        <f>'P_L Standard'!$C$58/12</f>
        <v>20833.333333333332</v>
      </c>
      <c r="AH154" s="25">
        <f>'P_L Standard'!$C$58/12</f>
        <v>20833.333333333332</v>
      </c>
      <c r="AI154" s="25">
        <f>'P_L Standard'!$C$58/12</f>
        <v>20833.333333333332</v>
      </c>
      <c r="AJ154" s="25">
        <f>'P_L Standard'!$C$58/12</f>
        <v>20833.333333333332</v>
      </c>
      <c r="AK154" s="25">
        <f>'P_L Standard'!$C$58/12</f>
        <v>20833.333333333332</v>
      </c>
      <c r="AL154" s="25">
        <f>'P_L Standard'!$C$58/12</f>
        <v>20833.333333333332</v>
      </c>
      <c r="AM154" s="25">
        <f>'P_L Standard'!$C$58/12</f>
        <v>20833.333333333332</v>
      </c>
      <c r="AN154" s="25">
        <f>'P_L Standard'!$C$58/12</f>
        <v>20833.333333333332</v>
      </c>
      <c r="AO154" s="25">
        <f>'P_L Standard'!$C$58/12</f>
        <v>20833.333333333332</v>
      </c>
      <c r="AP154" s="25">
        <f>'P_L Standard'!$C$58/12</f>
        <v>20833.333333333332</v>
      </c>
      <c r="AQ154" s="25">
        <f>'P_L Standard'!$C$58/12</f>
        <v>20833.333333333332</v>
      </c>
      <c r="AR154" s="25">
        <f>'P_L Standard'!$C$58/12</f>
        <v>20833.333333333332</v>
      </c>
      <c r="AS154" s="25">
        <f>'P_L Standard'!$C$58/12</f>
        <v>20833.333333333332</v>
      </c>
      <c r="AT154" s="25">
        <f>'P_L Standard'!$C$58/12</f>
        <v>20833.333333333332</v>
      </c>
      <c r="AU154" s="25">
        <f>'P_L Standard'!$C$58/12</f>
        <v>20833.333333333332</v>
      </c>
      <c r="AV154" s="25">
        <f>'P_L Standard'!$C$58/12</f>
        <v>20833.333333333332</v>
      </c>
      <c r="AW154" s="25">
        <f>'P_L Standard'!$C$58/12</f>
        <v>20833.333333333332</v>
      </c>
      <c r="AX154" s="25">
        <f>'P_L Standard'!$C$58/12</f>
        <v>20833.333333333332</v>
      </c>
      <c r="AY154" s="25">
        <f>'P_L Standard'!$C$58/12</f>
        <v>20833.333333333332</v>
      </c>
      <c r="AZ154" s="25">
        <f>'P_L Standard'!$C$58/12</f>
        <v>20833.333333333332</v>
      </c>
      <c r="BA154" s="25">
        <f>'P_L Standard'!$C$58/12</f>
        <v>20833.333333333332</v>
      </c>
    </row>
    <row r="155" spans="1:53" x14ac:dyDescent="0.25">
      <c r="B155" s="1" t="s">
        <v>47</v>
      </c>
      <c r="E155" s="25">
        <v>2500</v>
      </c>
      <c r="F155" s="25">
        <f>'P_L Standard'!$C$59/12</f>
        <v>5062.5</v>
      </c>
      <c r="G155" s="25">
        <f>'P_L Standard'!$C$59/12</f>
        <v>5062.5</v>
      </c>
      <c r="H155" s="25">
        <f>'P_L Standard'!$C$59/12</f>
        <v>5062.5</v>
      </c>
      <c r="I155" s="25">
        <f>'P_L Standard'!$C$59/12</f>
        <v>5062.5</v>
      </c>
      <c r="J155" s="25">
        <f>'P_L Standard'!$C$59/12</f>
        <v>5062.5</v>
      </c>
      <c r="K155" s="25">
        <f>'P_L Standard'!$C$59/12</f>
        <v>5062.5</v>
      </c>
      <c r="L155" s="25">
        <f>'P_L Standard'!$C$59/12</f>
        <v>5062.5</v>
      </c>
      <c r="M155" s="25">
        <f>'P_L Standard'!$C$59/12</f>
        <v>5062.5</v>
      </c>
      <c r="N155" s="25">
        <f>'P_L Standard'!$C$59/12</f>
        <v>5062.5</v>
      </c>
      <c r="O155" s="25">
        <f>'P_L Standard'!$C$59/12</f>
        <v>5062.5</v>
      </c>
      <c r="P155" s="25">
        <f>'P_L Standard'!$C$59/12</f>
        <v>5062.5</v>
      </c>
      <c r="Q155" s="25">
        <f>'P_L Standard'!$C$59/12</f>
        <v>5062.5</v>
      </c>
      <c r="R155" s="25">
        <f>'P_L Standard'!$C$59/12</f>
        <v>5062.5</v>
      </c>
      <c r="S155" s="25">
        <f>'P_L Standard'!$C$59/12</f>
        <v>5062.5</v>
      </c>
      <c r="T155" s="25">
        <f>'P_L Standard'!$C$59/12</f>
        <v>5062.5</v>
      </c>
      <c r="U155" s="25">
        <f>'P_L Standard'!$C$59/12</f>
        <v>5062.5</v>
      </c>
      <c r="V155" s="25">
        <f>'P_L Standard'!$C$59/12</f>
        <v>5062.5</v>
      </c>
      <c r="W155" s="25">
        <f>'P_L Standard'!$C$59/12</f>
        <v>5062.5</v>
      </c>
      <c r="X155" s="25">
        <f>'P_L Standard'!$C$59/12</f>
        <v>5062.5</v>
      </c>
      <c r="Y155" s="25">
        <f>'P_L Standard'!$C$59/12</f>
        <v>5062.5</v>
      </c>
      <c r="Z155" s="25">
        <f>'P_L Standard'!$C$59/12</f>
        <v>5062.5</v>
      </c>
      <c r="AA155" s="25">
        <f>'P_L Standard'!$C$59/12</f>
        <v>5062.5</v>
      </c>
      <c r="AB155" s="25">
        <f>'P_L Standard'!$C$59/12</f>
        <v>5062.5</v>
      </c>
      <c r="AC155" s="25">
        <f>'P_L Standard'!$C$59/12</f>
        <v>5062.5</v>
      </c>
      <c r="AD155" s="25">
        <f>'P_L Standard'!$C$59/12</f>
        <v>5062.5</v>
      </c>
      <c r="AE155" s="25">
        <f>'P_L Standard'!$C$59/12</f>
        <v>5062.5</v>
      </c>
      <c r="AF155" s="25">
        <f>'P_L Standard'!$C$59/12</f>
        <v>5062.5</v>
      </c>
      <c r="AG155" s="25">
        <f>'P_L Standard'!$C$59/12</f>
        <v>5062.5</v>
      </c>
      <c r="AH155" s="25">
        <f>'P_L Standard'!$C$59/12</f>
        <v>5062.5</v>
      </c>
      <c r="AI155" s="25">
        <f>'P_L Standard'!$C$59/12</f>
        <v>5062.5</v>
      </c>
      <c r="AJ155" s="25">
        <f>'P_L Standard'!$C$59/12</f>
        <v>5062.5</v>
      </c>
      <c r="AK155" s="25">
        <f>'P_L Standard'!$C$59/12</f>
        <v>5062.5</v>
      </c>
      <c r="AL155" s="25">
        <f>'P_L Standard'!$C$59/12</f>
        <v>5062.5</v>
      </c>
      <c r="AM155" s="25">
        <f>'P_L Standard'!$C$59/12</f>
        <v>5062.5</v>
      </c>
      <c r="AN155" s="25">
        <f>'P_L Standard'!$C$59/12</f>
        <v>5062.5</v>
      </c>
      <c r="AO155" s="25">
        <f>'P_L Standard'!$C$59/12</f>
        <v>5062.5</v>
      </c>
      <c r="AP155" s="25">
        <f>'P_L Standard'!$C$59/12</f>
        <v>5062.5</v>
      </c>
      <c r="AQ155" s="25">
        <f>'P_L Standard'!$C$59/12</f>
        <v>5062.5</v>
      </c>
      <c r="AR155" s="25">
        <f>'P_L Standard'!$C$59/12</f>
        <v>5062.5</v>
      </c>
      <c r="AS155" s="25">
        <f>'P_L Standard'!$C$59/12</f>
        <v>5062.5</v>
      </c>
      <c r="AT155" s="25">
        <f>'P_L Standard'!$C$59/12</f>
        <v>5062.5</v>
      </c>
      <c r="AU155" s="25">
        <f>'P_L Standard'!$C$59/12</f>
        <v>5062.5</v>
      </c>
      <c r="AV155" s="25">
        <f>'P_L Standard'!$C$59/12</f>
        <v>5062.5</v>
      </c>
      <c r="AW155" s="25">
        <f>'P_L Standard'!$C$59/12</f>
        <v>5062.5</v>
      </c>
      <c r="AX155" s="25">
        <f>'P_L Standard'!$C$59/12</f>
        <v>5062.5</v>
      </c>
      <c r="AY155" s="25">
        <f>'P_L Standard'!$C$59/12</f>
        <v>5062.5</v>
      </c>
      <c r="AZ155" s="25">
        <f>'P_L Standard'!$C$59/12</f>
        <v>5062.5</v>
      </c>
      <c r="BA155" s="25">
        <f>'P_L Standard'!$C$59/12</f>
        <v>5062.5</v>
      </c>
    </row>
    <row r="156" spans="1:53" x14ac:dyDescent="0.25">
      <c r="B156" s="1" t="s">
        <v>48</v>
      </c>
      <c r="E156" s="25">
        <v>1000</v>
      </c>
      <c r="F156" s="25">
        <f>'P_L Standard'!$C$60/12</f>
        <v>1125</v>
      </c>
      <c r="G156" s="25">
        <f>'P_L Standard'!$C$60/12</f>
        <v>1125</v>
      </c>
      <c r="H156" s="25">
        <f>'P_L Standard'!$C$60/12</f>
        <v>1125</v>
      </c>
      <c r="I156" s="25">
        <f>'P_L Standard'!$C$60/12</f>
        <v>1125</v>
      </c>
      <c r="J156" s="25">
        <f>'P_L Standard'!$C$60/12</f>
        <v>1125</v>
      </c>
      <c r="K156" s="25">
        <f>'P_L Standard'!$C$60/12</f>
        <v>1125</v>
      </c>
      <c r="L156" s="25">
        <f>'P_L Standard'!$C$60/12</f>
        <v>1125</v>
      </c>
      <c r="M156" s="25">
        <f>'P_L Standard'!$C$60/12</f>
        <v>1125</v>
      </c>
      <c r="N156" s="25">
        <f>'P_L Standard'!$C$60/12</f>
        <v>1125</v>
      </c>
      <c r="O156" s="25">
        <f>'P_L Standard'!$C$60/12</f>
        <v>1125</v>
      </c>
      <c r="P156" s="25">
        <f>'P_L Standard'!$C$60/12</f>
        <v>1125</v>
      </c>
      <c r="Q156" s="25">
        <f>'P_L Standard'!$C$60/12</f>
        <v>1125</v>
      </c>
      <c r="R156" s="25">
        <f>'P_L Standard'!$C$60/12</f>
        <v>1125</v>
      </c>
      <c r="S156" s="25">
        <f>'P_L Standard'!$C$60/12</f>
        <v>1125</v>
      </c>
      <c r="T156" s="25">
        <f>'P_L Standard'!$C$60/12</f>
        <v>1125</v>
      </c>
      <c r="U156" s="25">
        <f>'P_L Standard'!$C$60/12</f>
        <v>1125</v>
      </c>
      <c r="V156" s="25">
        <f>'P_L Standard'!$C$60/12</f>
        <v>1125</v>
      </c>
      <c r="W156" s="25">
        <f>'P_L Standard'!$C$60/12</f>
        <v>1125</v>
      </c>
      <c r="X156" s="25">
        <f>'P_L Standard'!$C$60/12</f>
        <v>1125</v>
      </c>
      <c r="Y156" s="25">
        <f>'P_L Standard'!$C$60/12</f>
        <v>1125</v>
      </c>
      <c r="Z156" s="25">
        <f>'P_L Standard'!$C$60/12</f>
        <v>1125</v>
      </c>
      <c r="AA156" s="25">
        <f>'P_L Standard'!$C$60/12</f>
        <v>1125</v>
      </c>
      <c r="AB156" s="25">
        <f>'P_L Standard'!$C$60/12</f>
        <v>1125</v>
      </c>
      <c r="AC156" s="25">
        <f>'P_L Standard'!$C$60/12</f>
        <v>1125</v>
      </c>
      <c r="AD156" s="25">
        <f>'P_L Standard'!$C$60/12</f>
        <v>1125</v>
      </c>
      <c r="AE156" s="25">
        <f>'P_L Standard'!$C$60/12</f>
        <v>1125</v>
      </c>
      <c r="AF156" s="25">
        <f>'P_L Standard'!$C$60/12</f>
        <v>1125</v>
      </c>
      <c r="AG156" s="25">
        <f>'P_L Standard'!$C$60/12</f>
        <v>1125</v>
      </c>
      <c r="AH156" s="25">
        <f>'P_L Standard'!$C$60/12</f>
        <v>1125</v>
      </c>
      <c r="AI156" s="25">
        <f>'P_L Standard'!$C$60/12</f>
        <v>1125</v>
      </c>
      <c r="AJ156" s="25">
        <f>'P_L Standard'!$C$60/12</f>
        <v>1125</v>
      </c>
      <c r="AK156" s="25">
        <f>'P_L Standard'!$C$60/12</f>
        <v>1125</v>
      </c>
      <c r="AL156" s="25">
        <f>'P_L Standard'!$C$60/12</f>
        <v>1125</v>
      </c>
      <c r="AM156" s="25">
        <f>'P_L Standard'!$C$60/12</f>
        <v>1125</v>
      </c>
      <c r="AN156" s="25">
        <f>'P_L Standard'!$C$60/12</f>
        <v>1125</v>
      </c>
      <c r="AO156" s="25">
        <f>'P_L Standard'!$C$60/12</f>
        <v>1125</v>
      </c>
      <c r="AP156" s="25">
        <f>'P_L Standard'!$C$60/12</f>
        <v>1125</v>
      </c>
      <c r="AQ156" s="25">
        <f>'P_L Standard'!$C$60/12</f>
        <v>1125</v>
      </c>
      <c r="AR156" s="25">
        <f>'P_L Standard'!$C$60/12</f>
        <v>1125</v>
      </c>
      <c r="AS156" s="25">
        <f>'P_L Standard'!$C$60/12</f>
        <v>1125</v>
      </c>
      <c r="AT156" s="25">
        <f>'P_L Standard'!$C$60/12</f>
        <v>1125</v>
      </c>
      <c r="AU156" s="25">
        <f>'P_L Standard'!$C$60/12</f>
        <v>1125</v>
      </c>
      <c r="AV156" s="25">
        <f>'P_L Standard'!$C$60/12</f>
        <v>1125</v>
      </c>
      <c r="AW156" s="25">
        <f>'P_L Standard'!$C$60/12</f>
        <v>1125</v>
      </c>
      <c r="AX156" s="25">
        <f>'P_L Standard'!$C$60/12</f>
        <v>1125</v>
      </c>
      <c r="AY156" s="25">
        <f>'P_L Standard'!$C$60/12</f>
        <v>1125</v>
      </c>
      <c r="AZ156" s="25">
        <f>'P_L Standard'!$C$60/12</f>
        <v>1125</v>
      </c>
      <c r="BA156" s="25">
        <f>'P_L Standard'!$C$60/12</f>
        <v>1125</v>
      </c>
    </row>
    <row r="157" spans="1:53" ht="14" x14ac:dyDescent="0.3">
      <c r="B157" s="43" t="s">
        <v>3</v>
      </c>
      <c r="C157" s="35">
        <f t="shared" ref="C157:AH157" si="66">SUM(C152:C156)</f>
        <v>0</v>
      </c>
      <c r="D157" s="35">
        <f t="shared" si="66"/>
        <v>0</v>
      </c>
      <c r="E157" s="35">
        <f t="shared" si="66"/>
        <v>27250</v>
      </c>
      <c r="F157" s="35">
        <f t="shared" si="66"/>
        <v>54145.833333333328</v>
      </c>
      <c r="G157" s="35">
        <f t="shared" si="66"/>
        <v>54145.833333333328</v>
      </c>
      <c r="H157" s="35">
        <f t="shared" si="66"/>
        <v>54145.833333333328</v>
      </c>
      <c r="I157" s="35">
        <f t="shared" si="66"/>
        <v>54145.833333333328</v>
      </c>
      <c r="J157" s="35">
        <f t="shared" si="66"/>
        <v>54145.833333333328</v>
      </c>
      <c r="K157" s="35">
        <f t="shared" si="66"/>
        <v>54145.833333333328</v>
      </c>
      <c r="L157" s="35">
        <f t="shared" si="66"/>
        <v>54145.833333333328</v>
      </c>
      <c r="M157" s="35">
        <f t="shared" si="66"/>
        <v>54145.833333333328</v>
      </c>
      <c r="N157" s="35">
        <f t="shared" si="66"/>
        <v>54145.833333333328</v>
      </c>
      <c r="O157" s="35">
        <f t="shared" si="66"/>
        <v>54145.833333333328</v>
      </c>
      <c r="P157" s="35">
        <f t="shared" si="66"/>
        <v>54145.833333333328</v>
      </c>
      <c r="Q157" s="35">
        <f t="shared" si="66"/>
        <v>54145.833333333328</v>
      </c>
      <c r="R157" s="35">
        <f t="shared" si="66"/>
        <v>54145.833333333328</v>
      </c>
      <c r="S157" s="35">
        <f t="shared" si="66"/>
        <v>54145.833333333328</v>
      </c>
      <c r="T157" s="35">
        <f t="shared" si="66"/>
        <v>54145.833333333328</v>
      </c>
      <c r="U157" s="35">
        <f t="shared" si="66"/>
        <v>54145.833333333328</v>
      </c>
      <c r="V157" s="35">
        <f t="shared" si="66"/>
        <v>54145.833333333328</v>
      </c>
      <c r="W157" s="35">
        <f t="shared" si="66"/>
        <v>54145.833333333328</v>
      </c>
      <c r="X157" s="35">
        <f t="shared" si="66"/>
        <v>54145.833333333328</v>
      </c>
      <c r="Y157" s="35">
        <f t="shared" si="66"/>
        <v>54145.833333333328</v>
      </c>
      <c r="Z157" s="35">
        <f t="shared" si="66"/>
        <v>54145.833333333328</v>
      </c>
      <c r="AA157" s="35">
        <f t="shared" si="66"/>
        <v>54145.833333333328</v>
      </c>
      <c r="AB157" s="35">
        <f t="shared" si="66"/>
        <v>54145.833333333328</v>
      </c>
      <c r="AC157" s="35">
        <f t="shared" si="66"/>
        <v>54145.833333333328</v>
      </c>
      <c r="AD157" s="35">
        <f t="shared" si="66"/>
        <v>54145.833333333328</v>
      </c>
      <c r="AE157" s="35">
        <f t="shared" si="66"/>
        <v>54145.833333333328</v>
      </c>
      <c r="AF157" s="35">
        <f t="shared" si="66"/>
        <v>54145.833333333328</v>
      </c>
      <c r="AG157" s="35">
        <f t="shared" si="66"/>
        <v>54145.833333333328</v>
      </c>
      <c r="AH157" s="35">
        <f t="shared" si="66"/>
        <v>54145.833333333328</v>
      </c>
      <c r="AI157" s="35">
        <f t="shared" ref="AI157:BA157" si="67">SUM(AI152:AI156)</f>
        <v>54145.833333333328</v>
      </c>
      <c r="AJ157" s="35">
        <f t="shared" si="67"/>
        <v>54145.833333333328</v>
      </c>
      <c r="AK157" s="35">
        <f t="shared" si="67"/>
        <v>54145.833333333328</v>
      </c>
      <c r="AL157" s="35">
        <f t="shared" si="67"/>
        <v>54145.833333333328</v>
      </c>
      <c r="AM157" s="35">
        <f t="shared" si="67"/>
        <v>54145.833333333328</v>
      </c>
      <c r="AN157" s="35">
        <f t="shared" si="67"/>
        <v>54145.833333333328</v>
      </c>
      <c r="AO157" s="35">
        <f t="shared" si="67"/>
        <v>54145.833333333328</v>
      </c>
      <c r="AP157" s="35">
        <f t="shared" si="67"/>
        <v>54145.833333333328</v>
      </c>
      <c r="AQ157" s="35">
        <f t="shared" si="67"/>
        <v>54145.833333333328</v>
      </c>
      <c r="AR157" s="35">
        <f t="shared" si="67"/>
        <v>54145.833333333328</v>
      </c>
      <c r="AS157" s="35">
        <f t="shared" si="67"/>
        <v>54145.833333333328</v>
      </c>
      <c r="AT157" s="35">
        <f t="shared" si="67"/>
        <v>54145.833333333328</v>
      </c>
      <c r="AU157" s="35">
        <f t="shared" si="67"/>
        <v>54145.833333333328</v>
      </c>
      <c r="AV157" s="35">
        <f t="shared" si="67"/>
        <v>54145.833333333328</v>
      </c>
      <c r="AW157" s="35">
        <f t="shared" si="67"/>
        <v>54145.833333333328</v>
      </c>
      <c r="AX157" s="35">
        <f t="shared" si="67"/>
        <v>54145.833333333328</v>
      </c>
      <c r="AY157" s="35">
        <f t="shared" si="67"/>
        <v>54145.833333333328</v>
      </c>
      <c r="AZ157" s="35">
        <f t="shared" si="67"/>
        <v>54145.833333333328</v>
      </c>
      <c r="BA157" s="35">
        <f t="shared" si="67"/>
        <v>54145.833333333328</v>
      </c>
    </row>
    <row r="159" spans="1:53" ht="15.5" x14ac:dyDescent="0.35">
      <c r="A159" s="42" t="s">
        <v>49</v>
      </c>
    </row>
    <row r="160" spans="1:53" x14ac:dyDescent="0.25">
      <c r="B160" s="1" t="s">
        <v>49</v>
      </c>
    </row>
    <row r="161" spans="1:53" x14ac:dyDescent="0.25">
      <c r="B161" s="1" t="s">
        <v>96</v>
      </c>
      <c r="C161" s="25">
        <f>'P_L Standard'!$C$64/350*'P_L Workings'!C37</f>
        <v>0</v>
      </c>
      <c r="D161" s="25">
        <f>'P_L Standard'!$C$64/350*'P_L Workings'!D37</f>
        <v>0</v>
      </c>
      <c r="E161" s="25">
        <f>'P_L Standard'!$C$64/350*'P_L Workings'!E37</f>
        <v>16000</v>
      </c>
      <c r="F161" s="25">
        <f>'P_L Standard'!$C$64/350*'P_L Workings'!F37</f>
        <v>66285.71428571429</v>
      </c>
      <c r="G161" s="25">
        <f>'P_L Standard'!$C$64/350*'P_L Workings'!G37</f>
        <v>70857.142857142855</v>
      </c>
      <c r="H161" s="25">
        <f>'P_L Standard'!$C$64/350*'P_L Workings'!H37</f>
        <v>68571.42857142858</v>
      </c>
      <c r="I161" s="25">
        <f>'P_L Standard'!$C$64/350*'P_L Workings'!I37</f>
        <v>70857.142857142855</v>
      </c>
      <c r="J161" s="25">
        <f>'P_L Standard'!$C$64/350*'P_L Workings'!J37</f>
        <v>70857.142857142855</v>
      </c>
      <c r="K161" s="25">
        <f>'P_L Standard'!$C$64/350*'P_L Workings'!K37</f>
        <v>68571.42857142858</v>
      </c>
      <c r="L161" s="25">
        <f>'P_L Standard'!$C$64/350*'P_L Workings'!L37</f>
        <v>70857.142857142855</v>
      </c>
      <c r="M161" s="25">
        <f>'P_L Standard'!$C$64/350*'P_L Workings'!M37</f>
        <v>66285.71428571429</v>
      </c>
      <c r="N161" s="25">
        <f>'P_L Standard'!$C$64/350*'P_L Workings'!N37</f>
        <v>70857.142857142855</v>
      </c>
      <c r="O161" s="25">
        <f>'P_L Standard'!$C$64/350*'P_L Workings'!O37</f>
        <v>43428.571428571428</v>
      </c>
      <c r="P161" s="25">
        <f>'P_L Standard'!$C$64/350*'P_L Workings'!P37</f>
        <v>61714.285714285717</v>
      </c>
      <c r="Q161" s="25">
        <f>'P_L Standard'!$C$64/350*'P_L Workings'!Q37</f>
        <v>70857.142857142855</v>
      </c>
      <c r="R161" s="25">
        <f>'P_L Standard'!$C$64/350*'P_L Workings'!R37</f>
        <v>66285.71428571429</v>
      </c>
      <c r="S161" s="25">
        <f>'P_L Standard'!$C$64/350*'P_L Workings'!S37</f>
        <v>70857.142857142855</v>
      </c>
      <c r="T161" s="25">
        <f>'P_L Standard'!$C$64/350*'P_L Workings'!T37</f>
        <v>68571.42857142858</v>
      </c>
      <c r="U161" s="25">
        <f>'P_L Standard'!$C$64/350*'P_L Workings'!U37</f>
        <v>70857.142857142855</v>
      </c>
      <c r="V161" s="25">
        <f>'P_L Standard'!$C$64/350*'P_L Workings'!V37</f>
        <v>70857.142857142855</v>
      </c>
      <c r="W161" s="25">
        <f>'P_L Standard'!$C$64/350*'P_L Workings'!W37</f>
        <v>68571.42857142858</v>
      </c>
      <c r="X161" s="25">
        <f>'P_L Standard'!$C$64/350*'P_L Workings'!X37</f>
        <v>70857.142857142855</v>
      </c>
      <c r="Y161" s="25">
        <f>'P_L Standard'!$C$64/350*'P_L Workings'!Y37</f>
        <v>66285.71428571429</v>
      </c>
      <c r="Z161" s="25">
        <f>'P_L Standard'!$C$64/350*'P_L Workings'!Z37</f>
        <v>70857.142857142855</v>
      </c>
      <c r="AA161" s="25">
        <f>'P_L Standard'!$C$64/350*'P_L Workings'!AA37</f>
        <v>41142.857142857145</v>
      </c>
      <c r="AB161" s="25">
        <f>'P_L Standard'!$C$64/350*'P_L Workings'!AB37</f>
        <v>64000</v>
      </c>
      <c r="AC161" s="25">
        <f>'P_L Standard'!$C$64/350*'P_L Workings'!AC37</f>
        <v>70857.142857142855</v>
      </c>
      <c r="AD161" s="25">
        <f>'P_L Standard'!$C$64/350*'P_L Workings'!AD37</f>
        <v>66285.71428571429</v>
      </c>
      <c r="AE161" s="25">
        <f>'P_L Standard'!$C$64/350*'P_L Workings'!AE37</f>
        <v>70857.142857142855</v>
      </c>
      <c r="AF161" s="25">
        <f>'P_L Standard'!$C$64/350*'P_L Workings'!AF37</f>
        <v>68571.42857142858</v>
      </c>
      <c r="AG161" s="25">
        <f>'P_L Standard'!$C$64/350*'P_L Workings'!AG37</f>
        <v>70857.142857142855</v>
      </c>
      <c r="AH161" s="25">
        <f>'P_L Standard'!$C$64/350*'P_L Workings'!AH37</f>
        <v>70857.142857142855</v>
      </c>
      <c r="AI161" s="25">
        <f>'P_L Standard'!$C$64/350*'P_L Workings'!AI37</f>
        <v>68571.42857142858</v>
      </c>
      <c r="AJ161" s="25">
        <f>'P_L Standard'!$C$64/350*'P_L Workings'!AJ37</f>
        <v>70857.142857142855</v>
      </c>
      <c r="AK161" s="25">
        <f>'P_L Standard'!$C$64/350*'P_L Workings'!AK37</f>
        <v>66285.71428571429</v>
      </c>
      <c r="AL161" s="25">
        <f>'P_L Standard'!$C$64/350*'P_L Workings'!AL37</f>
        <v>70857.142857142855</v>
      </c>
      <c r="AM161" s="25">
        <f>'P_L Standard'!$C$64/350*'P_L Workings'!AM37</f>
        <v>43428.571428571428</v>
      </c>
      <c r="AN161" s="25">
        <f>'P_L Standard'!$C$64/350*'P_L Workings'!AN37</f>
        <v>61714.285714285717</v>
      </c>
      <c r="AO161" s="25">
        <f>'P_L Standard'!$C$64/350*'P_L Workings'!AO37</f>
        <v>70857.142857142855</v>
      </c>
      <c r="AP161" s="25">
        <f>'P_L Standard'!$C$64/350*'P_L Workings'!AP37</f>
        <v>66285.71428571429</v>
      </c>
      <c r="AQ161" s="25">
        <f>'P_L Standard'!$C$64/350*'P_L Workings'!AQ37</f>
        <v>70857.142857142855</v>
      </c>
      <c r="AR161" s="25">
        <f>'P_L Standard'!$C$64/350*'P_L Workings'!AR37</f>
        <v>68571.42857142858</v>
      </c>
      <c r="AS161" s="25">
        <f>'P_L Standard'!$C$64/350*'P_L Workings'!AS37</f>
        <v>70857.142857142855</v>
      </c>
      <c r="AT161" s="25">
        <f>'P_L Standard'!$C$64/350*'P_L Workings'!AT37</f>
        <v>70857.142857142855</v>
      </c>
      <c r="AU161" s="25">
        <f>'P_L Standard'!$C$64/350*'P_L Workings'!AU37</f>
        <v>68571.42857142858</v>
      </c>
      <c r="AV161" s="25">
        <f>'P_L Standard'!$C$64/350*'P_L Workings'!AV37</f>
        <v>70857.142857142855</v>
      </c>
      <c r="AW161" s="25">
        <f>'P_L Standard'!$C$64/350*'P_L Workings'!AW37</f>
        <v>66285.71428571429</v>
      </c>
      <c r="AX161" s="25">
        <f>'P_L Standard'!$C$64/350*'P_L Workings'!AX37</f>
        <v>70857.142857142855</v>
      </c>
      <c r="AY161" s="25">
        <f>'P_L Standard'!$C$64/350*'P_L Workings'!AY37</f>
        <v>43428.571428571428</v>
      </c>
      <c r="AZ161" s="25">
        <f>'P_L Standard'!$C$64/350*'P_L Workings'!AZ37</f>
        <v>61714.285714285717</v>
      </c>
      <c r="BA161" s="25">
        <f>'P_L Standard'!$C$64/350*'P_L Workings'!BA37</f>
        <v>70857.142857142855</v>
      </c>
    </row>
    <row r="162" spans="1:53" x14ac:dyDescent="0.25">
      <c r="B162" s="1" t="s">
        <v>97</v>
      </c>
      <c r="C162" s="25">
        <f>'P_L Standard'!$D$64/350*'P_L Workings'!C37*'P_L Workings'!C100</f>
        <v>0</v>
      </c>
      <c r="D162" s="25">
        <f>'P_L Standard'!$D$64/350*'P_L Workings'!D37*'P_L Workings'!D100</f>
        <v>0</v>
      </c>
      <c r="E162" s="25">
        <f>'P_L Standard'!$D$64/350*'P_L Workings'!E37*'P_L Workings'!E100</f>
        <v>0</v>
      </c>
      <c r="F162" s="25">
        <f>'P_L Standard'!$D$64/350*'P_L Workings'!F37*'P_L Workings'!F100</f>
        <v>0</v>
      </c>
      <c r="G162" s="25">
        <f>'P_L Standard'!$D$64/350*'P_L Workings'!G37*'P_L Workings'!G100</f>
        <v>0</v>
      </c>
      <c r="H162" s="25">
        <f>'P_L Standard'!$D$64/350*'P_L Workings'!H37*'P_L Workings'!H100</f>
        <v>0</v>
      </c>
      <c r="I162" s="25">
        <f>'P_L Standard'!$D$64/350*'P_L Workings'!I37*'P_L Workings'!I100</f>
        <v>0</v>
      </c>
      <c r="J162" s="25">
        <f>'P_L Standard'!$D$64/350*'P_L Workings'!J37*'P_L Workings'!J100</f>
        <v>0</v>
      </c>
      <c r="K162" s="25">
        <f>'P_L Standard'!$D$64/350*'P_L Workings'!K37*'P_L Workings'!K100</f>
        <v>0</v>
      </c>
      <c r="L162" s="25">
        <f>'P_L Standard'!$D$64/350*'P_L Workings'!L37*'P_L Workings'!L100</f>
        <v>0</v>
      </c>
      <c r="M162" s="25">
        <f>'P_L Standard'!$D$64/350*'P_L Workings'!M37*'P_L Workings'!M100</f>
        <v>0</v>
      </c>
      <c r="N162" s="25">
        <f>'P_L Standard'!$D$64/350*'P_L Workings'!N37*'P_L Workings'!N100</f>
        <v>0</v>
      </c>
      <c r="O162" s="25">
        <f>'P_L Standard'!$D$64/350*'P_L Workings'!O37*'P_L Workings'!O100</f>
        <v>0</v>
      </c>
      <c r="P162" s="25">
        <f>'P_L Standard'!$D$64/350*'P_L Workings'!P37*'P_L Workings'!P100</f>
        <v>0</v>
      </c>
      <c r="Q162" s="25">
        <f>'P_L Standard'!$D$64/350*'P_L Workings'!Q37*'P_L Workings'!Q100</f>
        <v>0</v>
      </c>
      <c r="R162" s="25">
        <f>'P_L Standard'!$D$64/350*'P_L Workings'!R37*'P_L Workings'!R100</f>
        <v>0</v>
      </c>
      <c r="S162" s="25">
        <f>'P_L Standard'!$D$64/350*'P_L Workings'!S37*'P_L Workings'!S100</f>
        <v>0</v>
      </c>
      <c r="T162" s="25">
        <f>'P_L Standard'!$D$64/350*'P_L Workings'!T37*'P_L Workings'!T100</f>
        <v>0</v>
      </c>
      <c r="U162" s="25">
        <f>'P_L Standard'!$D$64/350*'P_L Workings'!U37*'P_L Workings'!U100</f>
        <v>0</v>
      </c>
      <c r="V162" s="25">
        <f>'P_L Standard'!$D$64/350*'P_L Workings'!V37*'P_L Workings'!V100</f>
        <v>0</v>
      </c>
      <c r="W162" s="25">
        <f>'P_L Standard'!$D$64/350*'P_L Workings'!W37*'P_L Workings'!W100</f>
        <v>0</v>
      </c>
      <c r="X162" s="25">
        <f>'P_L Standard'!$D$64/350*'P_L Workings'!X37*'P_L Workings'!X100</f>
        <v>0</v>
      </c>
      <c r="Y162" s="25">
        <f>'P_L Standard'!$D$64/350*'P_L Workings'!Y37*'P_L Workings'!Y100</f>
        <v>0</v>
      </c>
      <c r="Z162" s="25">
        <f>'P_L Standard'!$D$64/350*'P_L Workings'!Z37*'P_L Workings'!Z100</f>
        <v>0</v>
      </c>
      <c r="AA162" s="25">
        <f>'P_L Standard'!$D$64/350*'P_L Workings'!AA37*'P_L Workings'!AA100</f>
        <v>0</v>
      </c>
      <c r="AB162" s="25">
        <f>'P_L Standard'!$D$64/350*'P_L Workings'!AB37*'P_L Workings'!AB100</f>
        <v>0</v>
      </c>
      <c r="AC162" s="25">
        <f>'P_L Standard'!$D$64/350*'P_L Workings'!AC37*'P_L Workings'!AC100</f>
        <v>0</v>
      </c>
      <c r="AD162" s="25">
        <f>'P_L Standard'!$D$64/350*'P_L Workings'!AD37*'P_L Workings'!AD100</f>
        <v>0</v>
      </c>
      <c r="AE162" s="25">
        <f>'P_L Standard'!$D$64/350*'P_L Workings'!AE37*'P_L Workings'!AE100</f>
        <v>0</v>
      </c>
      <c r="AF162" s="25">
        <f>'P_L Standard'!$D$64/350*'P_L Workings'!AF37*'P_L Workings'!AF100</f>
        <v>0</v>
      </c>
      <c r="AG162" s="25">
        <f>'P_L Standard'!$D$64/350*'P_L Workings'!AG37*'P_L Workings'!AG100</f>
        <v>0</v>
      </c>
      <c r="AH162" s="25">
        <f>'P_L Standard'!$D$64/350*'P_L Workings'!AH37*'P_L Workings'!AH100</f>
        <v>0</v>
      </c>
      <c r="AI162" s="25">
        <f>'P_L Standard'!$D$64/350*'P_L Workings'!AI37*'P_L Workings'!AI100</f>
        <v>0</v>
      </c>
      <c r="AJ162" s="25">
        <f>'P_L Standard'!$D$64/350*'P_L Workings'!AJ37*'P_L Workings'!AJ100</f>
        <v>0</v>
      </c>
      <c r="AK162" s="25">
        <f>'P_L Standard'!$D$64/350*'P_L Workings'!AK37*'P_L Workings'!AK100</f>
        <v>0</v>
      </c>
      <c r="AL162" s="25">
        <f>'P_L Standard'!$D$64/350*'P_L Workings'!AL37*'P_L Workings'!AL100</f>
        <v>0</v>
      </c>
      <c r="AM162" s="25">
        <f>'P_L Standard'!$D$64/350*'P_L Workings'!AM37*'P_L Workings'!AM100</f>
        <v>0</v>
      </c>
      <c r="AN162" s="25">
        <f>'P_L Standard'!$D$64/350*'P_L Workings'!AN37*'P_L Workings'!AN100</f>
        <v>0</v>
      </c>
      <c r="AO162" s="25">
        <f>'P_L Standard'!$D$64/350*'P_L Workings'!AO37*'P_L Workings'!AO100</f>
        <v>0</v>
      </c>
      <c r="AP162" s="25">
        <f>'P_L Standard'!$D$64/350*'P_L Workings'!AP37*'P_L Workings'!AP100</f>
        <v>0</v>
      </c>
      <c r="AQ162" s="25">
        <f>'P_L Standard'!$D$64/350*'P_L Workings'!AQ37*'P_L Workings'!AQ100</f>
        <v>0</v>
      </c>
      <c r="AR162" s="25">
        <f>'P_L Standard'!$D$64/350*'P_L Workings'!AR37*'P_L Workings'!AR100</f>
        <v>0</v>
      </c>
      <c r="AS162" s="25">
        <f>'P_L Standard'!$D$64/350*'P_L Workings'!AS37*'P_L Workings'!AS100</f>
        <v>0</v>
      </c>
      <c r="AT162" s="25">
        <f>'P_L Standard'!$D$64/350*'P_L Workings'!AT37*'P_L Workings'!AT100</f>
        <v>0</v>
      </c>
      <c r="AU162" s="25">
        <f>'P_L Standard'!$D$64/350*'P_L Workings'!AU37*'P_L Workings'!AU100</f>
        <v>0</v>
      </c>
      <c r="AV162" s="25">
        <f>'P_L Standard'!$D$64/350*'P_L Workings'!AV37*'P_L Workings'!AV100</f>
        <v>0</v>
      </c>
      <c r="AW162" s="25">
        <f>'P_L Standard'!$D$64/350*'P_L Workings'!AW37*'P_L Workings'!AW100</f>
        <v>0</v>
      </c>
      <c r="AX162" s="25">
        <f>'P_L Standard'!$D$64/350*'P_L Workings'!AX37*'P_L Workings'!AX100</f>
        <v>0</v>
      </c>
      <c r="AY162" s="25">
        <f>'P_L Standard'!$D$64/350*'P_L Workings'!AY37*'P_L Workings'!AY100</f>
        <v>0</v>
      </c>
      <c r="AZ162" s="25">
        <f>'P_L Standard'!$D$64/350*'P_L Workings'!AZ37*'P_L Workings'!AZ100</f>
        <v>0</v>
      </c>
      <c r="BA162" s="25">
        <f>'P_L Standard'!$D$64/350*'P_L Workings'!BA37*'P_L Workings'!BA100</f>
        <v>0</v>
      </c>
    </row>
    <row r="163" spans="1:53" ht="14" x14ac:dyDescent="0.3">
      <c r="B163" s="43" t="s">
        <v>3</v>
      </c>
      <c r="C163" s="35">
        <f t="shared" ref="C163:AH163" si="68">SUM(C161:C162)</f>
        <v>0</v>
      </c>
      <c r="D163" s="35">
        <f t="shared" si="68"/>
        <v>0</v>
      </c>
      <c r="E163" s="35">
        <f t="shared" si="68"/>
        <v>16000</v>
      </c>
      <c r="F163" s="35">
        <f t="shared" si="68"/>
        <v>66285.71428571429</v>
      </c>
      <c r="G163" s="35">
        <f t="shared" si="68"/>
        <v>70857.142857142855</v>
      </c>
      <c r="H163" s="35">
        <f t="shared" si="68"/>
        <v>68571.42857142858</v>
      </c>
      <c r="I163" s="35">
        <f t="shared" si="68"/>
        <v>70857.142857142855</v>
      </c>
      <c r="J163" s="35">
        <f t="shared" si="68"/>
        <v>70857.142857142855</v>
      </c>
      <c r="K163" s="35">
        <f t="shared" si="68"/>
        <v>68571.42857142858</v>
      </c>
      <c r="L163" s="35">
        <f t="shared" si="68"/>
        <v>70857.142857142855</v>
      </c>
      <c r="M163" s="35">
        <f t="shared" si="68"/>
        <v>66285.71428571429</v>
      </c>
      <c r="N163" s="35">
        <f t="shared" si="68"/>
        <v>70857.142857142855</v>
      </c>
      <c r="O163" s="35">
        <f t="shared" si="68"/>
        <v>43428.571428571428</v>
      </c>
      <c r="P163" s="35">
        <f t="shared" si="68"/>
        <v>61714.285714285717</v>
      </c>
      <c r="Q163" s="35">
        <f t="shared" si="68"/>
        <v>70857.142857142855</v>
      </c>
      <c r="R163" s="35">
        <f t="shared" si="68"/>
        <v>66285.71428571429</v>
      </c>
      <c r="S163" s="35">
        <f t="shared" si="68"/>
        <v>70857.142857142855</v>
      </c>
      <c r="T163" s="35">
        <f t="shared" si="68"/>
        <v>68571.42857142858</v>
      </c>
      <c r="U163" s="35">
        <f t="shared" si="68"/>
        <v>70857.142857142855</v>
      </c>
      <c r="V163" s="35">
        <f t="shared" si="68"/>
        <v>70857.142857142855</v>
      </c>
      <c r="W163" s="35">
        <f t="shared" si="68"/>
        <v>68571.42857142858</v>
      </c>
      <c r="X163" s="35">
        <f t="shared" si="68"/>
        <v>70857.142857142855</v>
      </c>
      <c r="Y163" s="35">
        <f t="shared" si="68"/>
        <v>66285.71428571429</v>
      </c>
      <c r="Z163" s="35">
        <f t="shared" si="68"/>
        <v>70857.142857142855</v>
      </c>
      <c r="AA163" s="35">
        <f t="shared" si="68"/>
        <v>41142.857142857145</v>
      </c>
      <c r="AB163" s="35">
        <f t="shared" si="68"/>
        <v>64000</v>
      </c>
      <c r="AC163" s="35">
        <f t="shared" si="68"/>
        <v>70857.142857142855</v>
      </c>
      <c r="AD163" s="35">
        <f t="shared" si="68"/>
        <v>66285.71428571429</v>
      </c>
      <c r="AE163" s="35">
        <f t="shared" si="68"/>
        <v>70857.142857142855</v>
      </c>
      <c r="AF163" s="35">
        <f t="shared" si="68"/>
        <v>68571.42857142858</v>
      </c>
      <c r="AG163" s="35">
        <f t="shared" si="68"/>
        <v>70857.142857142855</v>
      </c>
      <c r="AH163" s="35">
        <f t="shared" si="68"/>
        <v>70857.142857142855</v>
      </c>
      <c r="AI163" s="35">
        <f t="shared" ref="AI163:BA163" si="69">SUM(AI161:AI162)</f>
        <v>68571.42857142858</v>
      </c>
      <c r="AJ163" s="35">
        <f t="shared" si="69"/>
        <v>70857.142857142855</v>
      </c>
      <c r="AK163" s="35">
        <f t="shared" si="69"/>
        <v>66285.71428571429</v>
      </c>
      <c r="AL163" s="35">
        <f t="shared" si="69"/>
        <v>70857.142857142855</v>
      </c>
      <c r="AM163" s="35">
        <f t="shared" si="69"/>
        <v>43428.571428571428</v>
      </c>
      <c r="AN163" s="35">
        <f t="shared" si="69"/>
        <v>61714.285714285717</v>
      </c>
      <c r="AO163" s="35">
        <f t="shared" si="69"/>
        <v>70857.142857142855</v>
      </c>
      <c r="AP163" s="35">
        <f t="shared" si="69"/>
        <v>66285.71428571429</v>
      </c>
      <c r="AQ163" s="35">
        <f t="shared" si="69"/>
        <v>70857.142857142855</v>
      </c>
      <c r="AR163" s="35">
        <f t="shared" si="69"/>
        <v>68571.42857142858</v>
      </c>
      <c r="AS163" s="35">
        <f t="shared" si="69"/>
        <v>70857.142857142855</v>
      </c>
      <c r="AT163" s="35">
        <f t="shared" si="69"/>
        <v>70857.142857142855</v>
      </c>
      <c r="AU163" s="35">
        <f t="shared" si="69"/>
        <v>68571.42857142858</v>
      </c>
      <c r="AV163" s="35">
        <f t="shared" si="69"/>
        <v>70857.142857142855</v>
      </c>
      <c r="AW163" s="35">
        <f t="shared" si="69"/>
        <v>66285.71428571429</v>
      </c>
      <c r="AX163" s="35">
        <f t="shared" si="69"/>
        <v>70857.142857142855</v>
      </c>
      <c r="AY163" s="35">
        <f t="shared" si="69"/>
        <v>43428.571428571428</v>
      </c>
      <c r="AZ163" s="35">
        <f t="shared" si="69"/>
        <v>61714.285714285717</v>
      </c>
      <c r="BA163" s="35">
        <f t="shared" si="69"/>
        <v>70857.142857142855</v>
      </c>
    </row>
    <row r="165" spans="1:53" ht="15.5" x14ac:dyDescent="0.35">
      <c r="A165" s="42" t="s">
        <v>50</v>
      </c>
    </row>
    <row r="166" spans="1:53" ht="13.5" customHeight="1" x14ac:dyDescent="0.35">
      <c r="A166" s="42"/>
      <c r="B166" s="1" t="s">
        <v>51</v>
      </c>
      <c r="E166" s="25">
        <v>0</v>
      </c>
      <c r="F166" s="25">
        <f>-'Bal Sheet Workings'!F10</f>
        <v>333.33333333333331</v>
      </c>
      <c r="G166" s="25">
        <f>-'Bal Sheet Workings'!G10</f>
        <v>327.77777777777783</v>
      </c>
      <c r="H166" s="25">
        <f>-'Bal Sheet Workings'!H10</f>
        <v>322.31481481481484</v>
      </c>
      <c r="I166" s="25">
        <f>-'Bal Sheet Workings'!I10</f>
        <v>316.94290123456796</v>
      </c>
      <c r="J166" s="25">
        <f>-'Bal Sheet Workings'!J10</f>
        <v>311.66051954732512</v>
      </c>
      <c r="K166" s="25">
        <f>-'Bal Sheet Workings'!K10</f>
        <v>306.46617755486977</v>
      </c>
      <c r="L166" s="25">
        <f>-'Bal Sheet Workings'!L10</f>
        <v>301.35840792895527</v>
      </c>
      <c r="M166" s="25">
        <f>-'Bal Sheet Workings'!M10</f>
        <v>296.33576779680601</v>
      </c>
      <c r="N166" s="25">
        <f>-'Bal Sheet Workings'!N10</f>
        <v>291.39683833352592</v>
      </c>
      <c r="O166" s="25">
        <f>-'Bal Sheet Workings'!O10</f>
        <v>286.54022436130049</v>
      </c>
      <c r="P166" s="25">
        <f>-'Bal Sheet Workings'!P10</f>
        <v>281.76455395527881</v>
      </c>
      <c r="Q166" s="25">
        <f>-'Bal Sheet Workings'!Q10</f>
        <v>277.06847805602416</v>
      </c>
      <c r="R166" s="25">
        <f>-'Bal Sheet Workings'!R10</f>
        <v>272.45067008842381</v>
      </c>
      <c r="S166" s="25">
        <f>-'Bal Sheet Workings'!S10</f>
        <v>267.90982558695003</v>
      </c>
      <c r="T166" s="25">
        <f>-'Bal Sheet Workings'!T10</f>
        <v>263.44466182716752</v>
      </c>
      <c r="U166" s="25">
        <f>-'Bal Sheet Workings'!U10</f>
        <v>259.05391746338142</v>
      </c>
      <c r="V166" s="25">
        <f>-'Bal Sheet Workings'!V10</f>
        <v>254.73635217232507</v>
      </c>
      <c r="W166" s="25">
        <f>-'Bal Sheet Workings'!W10</f>
        <v>250.49074630278633</v>
      </c>
      <c r="X166" s="25">
        <f>-'Bal Sheet Workings'!X10</f>
        <v>246.31590053107323</v>
      </c>
      <c r="Y166" s="25">
        <f>-'Bal Sheet Workings'!Y10</f>
        <v>242.21063552222199</v>
      </c>
      <c r="Z166" s="25">
        <f>-'Bal Sheet Workings'!Z10</f>
        <v>238.17379159685163</v>
      </c>
      <c r="AA166" s="25">
        <f>-'Bal Sheet Workings'!AA10</f>
        <v>234.20422840357074</v>
      </c>
      <c r="AB166" s="25">
        <f>-'Bal Sheet Workings'!AB10</f>
        <v>230.30082459684459</v>
      </c>
      <c r="AC166" s="25">
        <f>-'Bal Sheet Workings'!AC10</f>
        <v>226.46247752023052</v>
      </c>
      <c r="AD166" s="25">
        <f>-'Bal Sheet Workings'!AD10</f>
        <v>222.68810289489332</v>
      </c>
      <c r="AE166" s="25">
        <f>-'Bal Sheet Workings'!AE10</f>
        <v>218.97663451331178</v>
      </c>
      <c r="AF166" s="25">
        <f>-'Bal Sheet Workings'!AF10</f>
        <v>215.32702393808992</v>
      </c>
      <c r="AG166" s="25">
        <f>-'Bal Sheet Workings'!AG10</f>
        <v>211.73824020578843</v>
      </c>
      <c r="AH166" s="25">
        <f>-'Bal Sheet Workings'!AH10</f>
        <v>208.20926953569196</v>
      </c>
      <c r="AI166" s="25">
        <f>-'Bal Sheet Workings'!AI10</f>
        <v>204.73911504343042</v>
      </c>
      <c r="AJ166" s="25">
        <f>-'Bal Sheet Workings'!AJ10</f>
        <v>201.32679645937324</v>
      </c>
      <c r="AK166" s="25">
        <f>-'Bal Sheet Workings'!AK10</f>
        <v>197.97134985171704</v>
      </c>
      <c r="AL166" s="25">
        <f>-'Bal Sheet Workings'!AL10</f>
        <v>194.67182735418839</v>
      </c>
      <c r="AM166" s="25">
        <f>-'Bal Sheet Workings'!AM10</f>
        <v>191.42729689828528</v>
      </c>
      <c r="AN166" s="25">
        <f>-'Bal Sheet Workings'!AN10</f>
        <v>188.23684194998052</v>
      </c>
      <c r="AO166" s="25">
        <f>-'Bal Sheet Workings'!AO10</f>
        <v>185.09956125081419</v>
      </c>
      <c r="AP166" s="25">
        <f>-'Bal Sheet Workings'!AP10</f>
        <v>182.0145685633006</v>
      </c>
      <c r="AQ166" s="25">
        <f>-'Bal Sheet Workings'!AQ10</f>
        <v>178.98099242057893</v>
      </c>
      <c r="AR166" s="25">
        <f>-'Bal Sheet Workings'!AR10</f>
        <v>175.997975880236</v>
      </c>
      <c r="AS166" s="25">
        <f>-'Bal Sheet Workings'!AS10</f>
        <v>173.06467628223206</v>
      </c>
      <c r="AT166" s="25">
        <f>-'Bal Sheet Workings'!AT10</f>
        <v>170.18026501086149</v>
      </c>
      <c r="AU166" s="25">
        <f>-'Bal Sheet Workings'!AU10</f>
        <v>167.34392726068046</v>
      </c>
      <c r="AV166" s="25">
        <f>-'Bal Sheet Workings'!AV10</f>
        <v>164.55486180633577</v>
      </c>
      <c r="AW166" s="25">
        <f>-'Bal Sheet Workings'!AW10</f>
        <v>161.81228077623018</v>
      </c>
      <c r="AX166" s="25">
        <f>-'Bal Sheet Workings'!AX10</f>
        <v>159.11540942995967</v>
      </c>
      <c r="AY166" s="25">
        <f>-'Bal Sheet Workings'!AY10</f>
        <v>156.46348593946036</v>
      </c>
      <c r="AZ166" s="25">
        <f>-'Bal Sheet Workings'!AZ10</f>
        <v>153.85576117380268</v>
      </c>
      <c r="BA166" s="25">
        <f>-'Bal Sheet Workings'!BA10</f>
        <v>151.29149848757262</v>
      </c>
    </row>
    <row r="167" spans="1:53" ht="13.5" customHeight="1" x14ac:dyDescent="0.35">
      <c r="A167" s="42"/>
      <c r="B167" s="1" t="s">
        <v>116</v>
      </c>
      <c r="E167" s="25">
        <v>0</v>
      </c>
      <c r="F167" s="25">
        <f>'Loan _Int_'!E27+'Loan _Int_ _2_'!E27</f>
        <v>23125.000000002099</v>
      </c>
      <c r="G167" s="25">
        <f>'Loan _Int_'!E28</f>
        <v>15019.537614814139</v>
      </c>
      <c r="H167" s="25">
        <f>'Loan _Int_'!E29</f>
        <v>14410.291089725277</v>
      </c>
      <c r="I167" s="25">
        <f>'Loan _Int_'!E30</f>
        <v>13797.236773854611</v>
      </c>
      <c r="J167" s="25">
        <f>'Loan _Int_'!E31</f>
        <v>13180.350868509762</v>
      </c>
      <c r="K167" s="25">
        <f>'Loan _Int_'!E32</f>
        <v>12559.609426256502</v>
      </c>
      <c r="L167" s="25">
        <f>'Loan _Int_'!E33</f>
        <v>11934.988349989164</v>
      </c>
      <c r="M167" s="25">
        <f>'Loan _Int_'!E34</f>
        <v>11306.463391995154</v>
      </c>
      <c r="N167" s="25">
        <f>'Loan _Int_'!E35</f>
        <v>10674.010153013682</v>
      </c>
      <c r="O167" s="25">
        <f>'Loan _Int_'!E36</f>
        <v>10037.604081288579</v>
      </c>
      <c r="P167" s="25">
        <f>'Loan _Int_'!E37</f>
        <v>9397.2204716151937</v>
      </c>
      <c r="Q167" s="25">
        <f>'Loan _Int_'!E38</f>
        <v>8752.8344643813507</v>
      </c>
      <c r="R167" s="25">
        <f>'Loan _Int_'!E39</f>
        <v>8104.4210446022989</v>
      </c>
      <c r="S167" s="25">
        <f>'Loan _Int_'!E40</f>
        <v>7451.9550409496278</v>
      </c>
      <c r="T167" s="25">
        <f>'Loan _Int_'!E41</f>
        <v>6795.4111247741284</v>
      </c>
      <c r="U167" s="25">
        <f>'Loan _Int_'!E42</f>
        <v>6134.7638091225335</v>
      </c>
      <c r="V167" s="25">
        <f>'Loan _Int_'!E43</f>
        <v>5469.9874477481171</v>
      </c>
      <c r="W167" s="25">
        <f>'Loan _Int_'!E44</f>
        <v>4801.0562341151117</v>
      </c>
      <c r="X167" s="25">
        <f>'Loan _Int_'!E45</f>
        <v>4127.9442003969016</v>
      </c>
      <c r="Y167" s="25">
        <f>'Loan _Int_'!E46</f>
        <v>3450.625216467954</v>
      </c>
      <c r="Z167" s="25">
        <f>'Loan _Int_'!E47</f>
        <v>2769.0729888894521</v>
      </c>
      <c r="AA167" s="25">
        <f>'Loan _Int_'!E48</f>
        <v>2083.2610598885854</v>
      </c>
      <c r="AB167" s="25">
        <f>'Loan _Int_'!E49</f>
        <v>1393.1628063314643</v>
      </c>
      <c r="AC167" s="25">
        <f>'Loan _Int_'!E50</f>
        <v>698.7514386896122</v>
      </c>
      <c r="AD167" s="25">
        <f>'Loan _Int_'!E51</f>
        <v>0</v>
      </c>
      <c r="AE167" s="25">
        <f>'Loan _Int_'!E52</f>
        <v>0</v>
      </c>
      <c r="AF167" s="25">
        <f>'Loan _Int_'!E53</f>
        <v>0</v>
      </c>
      <c r="AG167" s="25">
        <f>'Loan _Int_'!E54</f>
        <v>0</v>
      </c>
      <c r="AH167" s="25">
        <f>'Loan _Int_'!E55</f>
        <v>0</v>
      </c>
      <c r="AI167" s="25">
        <f>'Loan _Int_'!E56</f>
        <v>0</v>
      </c>
      <c r="AJ167" s="25">
        <f>'Loan _Int_'!E57</f>
        <v>0</v>
      </c>
      <c r="AK167" s="25">
        <f>'Loan _Int_'!E58</f>
        <v>0</v>
      </c>
      <c r="AL167" s="25">
        <f>'Loan _Int_'!E59</f>
        <v>0</v>
      </c>
      <c r="AM167" s="25">
        <f>'Loan _Int_'!E60</f>
        <v>0</v>
      </c>
      <c r="AN167" s="25">
        <f>'Loan _Int_'!E61</f>
        <v>0</v>
      </c>
      <c r="AO167" s="25">
        <f>'Loan _Int_'!E62</f>
        <v>0</v>
      </c>
      <c r="AP167" s="25">
        <f>'Loan _Int_'!E63</f>
        <v>0</v>
      </c>
      <c r="AQ167" s="25">
        <f>'Loan _Int_'!E64</f>
        <v>0</v>
      </c>
      <c r="AR167" s="25">
        <f>'Loan _Int_'!E65</f>
        <v>0</v>
      </c>
      <c r="AS167" s="25">
        <f>'Loan _Int_'!E66</f>
        <v>0</v>
      </c>
    </row>
    <row r="168" spans="1:53" x14ac:dyDescent="0.25">
      <c r="B168" s="1" t="s">
        <v>53</v>
      </c>
      <c r="E168" s="25">
        <v>0</v>
      </c>
      <c r="F168" s="25">
        <f>'P_L Standard'!$C$68/12</f>
        <v>6250</v>
      </c>
      <c r="G168" s="25">
        <f>'P_L Standard'!$C$68/12</f>
        <v>6250</v>
      </c>
      <c r="H168" s="25">
        <f>'P_L Standard'!$C$68/12</f>
        <v>6250</v>
      </c>
      <c r="I168" s="25">
        <f>'P_L Standard'!$C$68/12</f>
        <v>6250</v>
      </c>
      <c r="J168" s="25">
        <f>'P_L Standard'!$C$68/12</f>
        <v>6250</v>
      </c>
      <c r="K168" s="25">
        <f>'P_L Standard'!$C$68/12</f>
        <v>6250</v>
      </c>
      <c r="L168" s="25">
        <f>'P_L Standard'!$C$68/12</f>
        <v>6250</v>
      </c>
      <c r="M168" s="25">
        <f>'P_L Standard'!$C$68/12</f>
        <v>6250</v>
      </c>
      <c r="N168" s="25">
        <f>'P_L Standard'!$C$68/12</f>
        <v>6250</v>
      </c>
      <c r="O168" s="25">
        <f>'P_L Standard'!$C$68/12</f>
        <v>6250</v>
      </c>
      <c r="P168" s="25">
        <f>'P_L Standard'!$C$68/12</f>
        <v>6250</v>
      </c>
      <c r="Q168" s="25">
        <f>'P_L Standard'!$C$68/12</f>
        <v>6250</v>
      </c>
      <c r="R168" s="25">
        <f>'P_L Standard'!$C$68/12</f>
        <v>6250</v>
      </c>
      <c r="S168" s="25">
        <f>'P_L Standard'!$C$68/12</f>
        <v>6250</v>
      </c>
      <c r="T168" s="25">
        <f>'P_L Standard'!$C$68/12</f>
        <v>6250</v>
      </c>
      <c r="U168" s="25">
        <f>'P_L Standard'!$C$68/12</f>
        <v>6250</v>
      </c>
      <c r="V168" s="25">
        <f>'P_L Standard'!$C$68/12</f>
        <v>6250</v>
      </c>
      <c r="W168" s="25">
        <f>'P_L Standard'!$C$68/12</f>
        <v>6250</v>
      </c>
      <c r="X168" s="25">
        <f>'P_L Standard'!$C$68/12</f>
        <v>6250</v>
      </c>
      <c r="Y168" s="25">
        <f>'P_L Standard'!$C$68/12</f>
        <v>6250</v>
      </c>
      <c r="Z168" s="25">
        <f>'P_L Standard'!$C$68/12</f>
        <v>6250</v>
      </c>
      <c r="AA168" s="25">
        <f>'P_L Standard'!$C$68/12</f>
        <v>6250</v>
      </c>
      <c r="AB168" s="25">
        <f>'P_L Standard'!$C$68/12</f>
        <v>6250</v>
      </c>
      <c r="AC168" s="25">
        <f>'P_L Standard'!$C$68/12</f>
        <v>6250</v>
      </c>
      <c r="AD168" s="25">
        <f>'P_L Standard'!$C$68/12</f>
        <v>6250</v>
      </c>
      <c r="AE168" s="25">
        <f>'P_L Standard'!$C$68/12</f>
        <v>6250</v>
      </c>
      <c r="AF168" s="25">
        <f>'P_L Standard'!$C$68/12</f>
        <v>6250</v>
      </c>
      <c r="AG168" s="25">
        <f>'P_L Standard'!$C$68/12</f>
        <v>6250</v>
      </c>
      <c r="AH168" s="25">
        <f>'P_L Standard'!$C$68/12</f>
        <v>6250</v>
      </c>
      <c r="AI168" s="25">
        <f>'P_L Standard'!$C$68/12</f>
        <v>6250</v>
      </c>
      <c r="AJ168" s="25">
        <f>'P_L Standard'!$C$68/12</f>
        <v>6250</v>
      </c>
      <c r="AK168" s="25">
        <f>'P_L Standard'!$C$68/12</f>
        <v>6250</v>
      </c>
      <c r="AL168" s="25">
        <f>'P_L Standard'!$C$68/12</f>
        <v>6250</v>
      </c>
      <c r="AM168" s="25">
        <f>'P_L Standard'!$C$68/12</f>
        <v>6250</v>
      </c>
      <c r="AN168" s="25">
        <f>'P_L Standard'!$C$68/12</f>
        <v>6250</v>
      </c>
      <c r="AO168" s="25">
        <f>'P_L Standard'!$C$68/12</f>
        <v>6250</v>
      </c>
      <c r="AP168" s="25">
        <f>'P_L Standard'!$C$68/12</f>
        <v>6250</v>
      </c>
      <c r="AQ168" s="25">
        <f>'P_L Standard'!$C$68/12</f>
        <v>6250</v>
      </c>
      <c r="AR168" s="25">
        <f>'P_L Standard'!$C$68/12</f>
        <v>6250</v>
      </c>
      <c r="AS168" s="25">
        <f>'P_L Standard'!$C$68/12</f>
        <v>6250</v>
      </c>
      <c r="AT168" s="25">
        <f>'P_L Standard'!$C$68/12</f>
        <v>6250</v>
      </c>
      <c r="AU168" s="25">
        <f>'P_L Standard'!$C$68/12</f>
        <v>6250</v>
      </c>
      <c r="AV168" s="25">
        <f>'P_L Standard'!$C$68/12</f>
        <v>6250</v>
      </c>
      <c r="AW168" s="25">
        <f>'P_L Standard'!$C$68/12</f>
        <v>6250</v>
      </c>
      <c r="AX168" s="25">
        <f>'P_L Standard'!$C$68/12</f>
        <v>6250</v>
      </c>
      <c r="AY168" s="25">
        <f>'P_L Standard'!$C$68/12</f>
        <v>6250</v>
      </c>
      <c r="AZ168" s="25">
        <f>'P_L Standard'!$C$68/12</f>
        <v>6250</v>
      </c>
      <c r="BA168" s="25">
        <f>'P_L Standard'!$C$68/12</f>
        <v>6250</v>
      </c>
    </row>
    <row r="169" spans="1:53" x14ac:dyDescent="0.25">
      <c r="B169" s="1" t="s">
        <v>54</v>
      </c>
      <c r="E169" s="25">
        <v>0</v>
      </c>
      <c r="F169" s="25">
        <f>'P_L Standard'!$C$69/12</f>
        <v>0</v>
      </c>
      <c r="G169" s="25">
        <f>'P_L Standard'!$C$69/12</f>
        <v>0</v>
      </c>
      <c r="H169" s="25">
        <f>'P_L Standard'!$C$69/12</f>
        <v>0</v>
      </c>
      <c r="I169" s="25">
        <f>'P_L Standard'!$C$69/12</f>
        <v>0</v>
      </c>
      <c r="J169" s="25">
        <f>'P_L Standard'!$C$69/12</f>
        <v>0</v>
      </c>
      <c r="K169" s="25">
        <f>'P_L Standard'!$C$69/12</f>
        <v>0</v>
      </c>
      <c r="L169" s="25">
        <f>'P_L Standard'!$C$69/12</f>
        <v>0</v>
      </c>
      <c r="M169" s="25">
        <f>'P_L Standard'!$C$69/12</f>
        <v>0</v>
      </c>
      <c r="N169" s="25">
        <f>'P_L Standard'!$C$69/12</f>
        <v>0</v>
      </c>
      <c r="O169" s="25">
        <f>'P_L Standard'!$C$69/12</f>
        <v>0</v>
      </c>
      <c r="P169" s="25">
        <f>'P_L Standard'!$C$69/12</f>
        <v>0</v>
      </c>
      <c r="Q169" s="25">
        <f>'P_L Standard'!$C$69/12</f>
        <v>0</v>
      </c>
      <c r="R169" s="25">
        <f>'P_L Standard'!$C$69/12</f>
        <v>0</v>
      </c>
      <c r="S169" s="25">
        <f>'P_L Standard'!$C$69/12</f>
        <v>0</v>
      </c>
      <c r="T169" s="25">
        <f>'P_L Standard'!$C$69/12</f>
        <v>0</v>
      </c>
      <c r="U169" s="25">
        <f>'P_L Standard'!$C$69/12</f>
        <v>0</v>
      </c>
      <c r="V169" s="25">
        <f>'P_L Standard'!$C$69/12</f>
        <v>0</v>
      </c>
      <c r="W169" s="25">
        <f>'P_L Standard'!$C$69/12</f>
        <v>0</v>
      </c>
      <c r="X169" s="25">
        <f>'P_L Standard'!$C$69/12</f>
        <v>0</v>
      </c>
      <c r="Y169" s="25">
        <f>'P_L Standard'!$C$69/12</f>
        <v>0</v>
      </c>
      <c r="Z169" s="25">
        <f>'P_L Standard'!$C$69/12</f>
        <v>0</v>
      </c>
      <c r="AA169" s="25">
        <f>'P_L Standard'!$C$69/12</f>
        <v>0</v>
      </c>
      <c r="AB169" s="25">
        <f>'P_L Standard'!$C$69/12</f>
        <v>0</v>
      </c>
      <c r="AC169" s="25">
        <f>'P_L Standard'!$C$69/12</f>
        <v>0</v>
      </c>
      <c r="AD169" s="25">
        <f>'P_L Standard'!$C$69/12</f>
        <v>0</v>
      </c>
      <c r="AE169" s="25">
        <f>'P_L Standard'!$C$69/12</f>
        <v>0</v>
      </c>
      <c r="AF169" s="25">
        <f>'P_L Standard'!$C$69/12</f>
        <v>0</v>
      </c>
      <c r="AG169" s="25">
        <f>'P_L Standard'!$C$69/12</f>
        <v>0</v>
      </c>
      <c r="AH169" s="25">
        <f>'P_L Standard'!$C$69/12</f>
        <v>0</v>
      </c>
      <c r="AI169" s="25">
        <f>'P_L Standard'!$C$69/12</f>
        <v>0</v>
      </c>
      <c r="AJ169" s="25">
        <f>'P_L Standard'!$C$69/12</f>
        <v>0</v>
      </c>
      <c r="AK169" s="25">
        <f>'P_L Standard'!$C$69/12</f>
        <v>0</v>
      </c>
      <c r="AL169" s="25">
        <f>'P_L Standard'!$C$69/12</f>
        <v>0</v>
      </c>
      <c r="AM169" s="25">
        <f>'P_L Standard'!$C$69/12</f>
        <v>0</v>
      </c>
      <c r="AN169" s="25">
        <f>'P_L Standard'!$C$69/12</f>
        <v>0</v>
      </c>
      <c r="AO169" s="25">
        <f>'P_L Standard'!$C$69/12</f>
        <v>0</v>
      </c>
      <c r="AP169" s="25">
        <f>'P_L Standard'!$C$69/12</f>
        <v>0</v>
      </c>
      <c r="AQ169" s="25">
        <f>'P_L Standard'!$C$69/12</f>
        <v>0</v>
      </c>
      <c r="AR169" s="25">
        <f>'P_L Standard'!$C$69/12</f>
        <v>0</v>
      </c>
      <c r="AS169" s="25">
        <f>'P_L Standard'!$C$69/12</f>
        <v>0</v>
      </c>
      <c r="AT169" s="25">
        <f>'P_L Standard'!$C$69/12</f>
        <v>0</v>
      </c>
      <c r="AU169" s="25">
        <f>'P_L Standard'!$C$69/12</f>
        <v>0</v>
      </c>
      <c r="AV169" s="25">
        <f>'P_L Standard'!$C$69/12</f>
        <v>0</v>
      </c>
      <c r="AW169" s="25">
        <f>'P_L Standard'!$C$69/12</f>
        <v>0</v>
      </c>
      <c r="AX169" s="25">
        <f>'P_L Standard'!$C$69/12</f>
        <v>0</v>
      </c>
      <c r="AY169" s="25">
        <f>'P_L Standard'!$C$69/12</f>
        <v>0</v>
      </c>
      <c r="AZ169" s="25">
        <f>'P_L Standard'!$C$69/12</f>
        <v>0</v>
      </c>
      <c r="BA169" s="25">
        <f>'P_L Standard'!$C$69/12</f>
        <v>0</v>
      </c>
    </row>
    <row r="170" spans="1:53" ht="14" x14ac:dyDescent="0.3">
      <c r="B170" s="43" t="s">
        <v>3</v>
      </c>
      <c r="C170" s="35">
        <f t="shared" ref="C170:AH170" si="70">SUM(C166:C169)</f>
        <v>0</v>
      </c>
      <c r="D170" s="35">
        <f t="shared" si="70"/>
        <v>0</v>
      </c>
      <c r="E170" s="35">
        <f t="shared" si="70"/>
        <v>0</v>
      </c>
      <c r="F170" s="35">
        <f t="shared" si="70"/>
        <v>29708.333333335431</v>
      </c>
      <c r="G170" s="35">
        <f t="shared" si="70"/>
        <v>21597.315392591918</v>
      </c>
      <c r="H170" s="35">
        <f t="shared" si="70"/>
        <v>20982.605904540091</v>
      </c>
      <c r="I170" s="35">
        <f t="shared" si="70"/>
        <v>20364.179675089181</v>
      </c>
      <c r="J170" s="35">
        <f t="shared" si="70"/>
        <v>19742.011388057086</v>
      </c>
      <c r="K170" s="35">
        <f t="shared" si="70"/>
        <v>19116.075603811372</v>
      </c>
      <c r="L170" s="35">
        <f t="shared" si="70"/>
        <v>18486.34675791812</v>
      </c>
      <c r="M170" s="35">
        <f t="shared" si="70"/>
        <v>17852.799159791961</v>
      </c>
      <c r="N170" s="35">
        <f t="shared" si="70"/>
        <v>17215.406991347209</v>
      </c>
      <c r="O170" s="35">
        <f t="shared" si="70"/>
        <v>16574.144305649879</v>
      </c>
      <c r="P170" s="35">
        <f t="shared" si="70"/>
        <v>15928.985025570473</v>
      </c>
      <c r="Q170" s="35">
        <f t="shared" si="70"/>
        <v>15279.902942437375</v>
      </c>
      <c r="R170" s="35">
        <f t="shared" si="70"/>
        <v>14626.871714690722</v>
      </c>
      <c r="S170" s="35">
        <f t="shared" si="70"/>
        <v>13969.864866536578</v>
      </c>
      <c r="T170" s="35">
        <f t="shared" si="70"/>
        <v>13308.855786601296</v>
      </c>
      <c r="U170" s="35">
        <f t="shared" si="70"/>
        <v>12643.817726585916</v>
      </c>
      <c r="V170" s="35">
        <f t="shared" si="70"/>
        <v>11974.723799920443</v>
      </c>
      <c r="W170" s="35">
        <f t="shared" si="70"/>
        <v>11301.546980417897</v>
      </c>
      <c r="X170" s="35">
        <f t="shared" si="70"/>
        <v>10624.260100927975</v>
      </c>
      <c r="Y170" s="35">
        <f t="shared" si="70"/>
        <v>9942.8358519901758</v>
      </c>
      <c r="Z170" s="35">
        <f t="shared" si="70"/>
        <v>9257.2467804863045</v>
      </c>
      <c r="AA170" s="35">
        <f t="shared" si="70"/>
        <v>8567.4652882921564</v>
      </c>
      <c r="AB170" s="35">
        <f t="shared" si="70"/>
        <v>7873.4636309283087</v>
      </c>
      <c r="AC170" s="35">
        <f t="shared" si="70"/>
        <v>7175.2139162098429</v>
      </c>
      <c r="AD170" s="35">
        <f t="shared" si="70"/>
        <v>6472.6881028948937</v>
      </c>
      <c r="AE170" s="35">
        <f t="shared" si="70"/>
        <v>6468.9766345133121</v>
      </c>
      <c r="AF170" s="35">
        <f t="shared" si="70"/>
        <v>6465.32702393809</v>
      </c>
      <c r="AG170" s="35">
        <f t="shared" si="70"/>
        <v>6461.7382402057883</v>
      </c>
      <c r="AH170" s="35">
        <f t="shared" si="70"/>
        <v>6458.2092695356923</v>
      </c>
      <c r="AI170" s="35">
        <f t="shared" ref="AI170:BA170" si="71">SUM(AI166:AI169)</f>
        <v>6454.7391150434305</v>
      </c>
      <c r="AJ170" s="35">
        <f t="shared" si="71"/>
        <v>6451.3267964593733</v>
      </c>
      <c r="AK170" s="35">
        <f t="shared" si="71"/>
        <v>6447.9713498517167</v>
      </c>
      <c r="AL170" s="35">
        <f t="shared" si="71"/>
        <v>6444.6718273541883</v>
      </c>
      <c r="AM170" s="35">
        <f t="shared" si="71"/>
        <v>6441.427296898285</v>
      </c>
      <c r="AN170" s="35">
        <f t="shared" si="71"/>
        <v>6438.2368419499808</v>
      </c>
      <c r="AO170" s="35">
        <f t="shared" si="71"/>
        <v>6435.0995612508141</v>
      </c>
      <c r="AP170" s="35">
        <f t="shared" si="71"/>
        <v>6432.0145685633006</v>
      </c>
      <c r="AQ170" s="35">
        <f t="shared" si="71"/>
        <v>6428.9809924205792</v>
      </c>
      <c r="AR170" s="35">
        <f t="shared" si="71"/>
        <v>6425.9979758802356</v>
      </c>
      <c r="AS170" s="35">
        <f t="shared" si="71"/>
        <v>6423.0646762822316</v>
      </c>
      <c r="AT170" s="35">
        <f t="shared" si="71"/>
        <v>6420.1802650108611</v>
      </c>
      <c r="AU170" s="35">
        <f t="shared" si="71"/>
        <v>6417.3439272606802</v>
      </c>
      <c r="AV170" s="35">
        <f t="shared" si="71"/>
        <v>6414.5548618063358</v>
      </c>
      <c r="AW170" s="35">
        <f t="shared" si="71"/>
        <v>6411.8122807762302</v>
      </c>
      <c r="AX170" s="35">
        <f t="shared" si="71"/>
        <v>6409.11540942996</v>
      </c>
      <c r="AY170" s="35">
        <f t="shared" si="71"/>
        <v>6406.46348593946</v>
      </c>
      <c r="AZ170" s="35">
        <f t="shared" si="71"/>
        <v>6403.8557611738024</v>
      </c>
      <c r="BA170" s="35">
        <f t="shared" si="71"/>
        <v>6401.2914984875724</v>
      </c>
    </row>
    <row r="172" spans="1:53" ht="15.5" x14ac:dyDescent="0.35">
      <c r="A172" s="26" t="s">
        <v>55</v>
      </c>
      <c r="C172" s="35">
        <f t="shared" ref="C172:AH172" si="72">C170+C163+C157+C149+C142+C91+C84</f>
        <v>0</v>
      </c>
      <c r="D172" s="35">
        <f t="shared" si="72"/>
        <v>0</v>
      </c>
      <c r="E172" s="35">
        <f t="shared" si="72"/>
        <v>950386.24080586073</v>
      </c>
      <c r="F172" s="35">
        <f t="shared" si="72"/>
        <v>1436593.860000002</v>
      </c>
      <c r="G172" s="35">
        <f t="shared" si="72"/>
        <v>1483489.5220592583</v>
      </c>
      <c r="H172" s="35">
        <f t="shared" si="72"/>
        <v>1455371.4725712065</v>
      </c>
      <c r="I172" s="35">
        <f t="shared" si="72"/>
        <v>1482256.3863417557</v>
      </c>
      <c r="J172" s="35">
        <f t="shared" si="72"/>
        <v>1481634.2180547237</v>
      </c>
      <c r="K172" s="35">
        <f t="shared" si="72"/>
        <v>1453504.9422704778</v>
      </c>
      <c r="L172" s="35">
        <f t="shared" si="72"/>
        <v>1480378.5534245847</v>
      </c>
      <c r="M172" s="35">
        <f t="shared" si="72"/>
        <v>1424738.3258264586</v>
      </c>
      <c r="N172" s="35">
        <f t="shared" si="72"/>
        <v>1479107.6136580138</v>
      </c>
      <c r="O172" s="35">
        <f t="shared" si="72"/>
        <v>1148426.2709723166</v>
      </c>
      <c r="P172" s="35">
        <f t="shared" si="72"/>
        <v>1367807.8316922372</v>
      </c>
      <c r="Q172" s="35">
        <f t="shared" si="72"/>
        <v>1477172.109609104</v>
      </c>
      <c r="R172" s="35">
        <f t="shared" si="72"/>
        <v>1421512.3983813573</v>
      </c>
      <c r="S172" s="35">
        <f t="shared" si="72"/>
        <v>1475862.0715332031</v>
      </c>
      <c r="T172" s="35">
        <f t="shared" si="72"/>
        <v>1447697.7224532678</v>
      </c>
      <c r="U172" s="35">
        <f t="shared" si="72"/>
        <v>1474536.0243932523</v>
      </c>
      <c r="V172" s="35">
        <f t="shared" si="72"/>
        <v>1473866.930466587</v>
      </c>
      <c r="W172" s="35">
        <f t="shared" si="72"/>
        <v>1445690.4136470845</v>
      </c>
      <c r="X172" s="35">
        <f t="shared" si="72"/>
        <v>1472516.4667675945</v>
      </c>
      <c r="Y172" s="35">
        <f t="shared" si="72"/>
        <v>1416828.3625186568</v>
      </c>
      <c r="Z172" s="35">
        <f t="shared" si="72"/>
        <v>1471149.4534471529</v>
      </c>
      <c r="AA172" s="35">
        <f t="shared" si="72"/>
        <v>1112916.251954959</v>
      </c>
      <c r="AB172" s="35">
        <f t="shared" si="72"/>
        <v>1387255.650297595</v>
      </c>
      <c r="AC172" s="35">
        <f t="shared" si="72"/>
        <v>1469067.4205828763</v>
      </c>
      <c r="AD172" s="35">
        <f t="shared" si="72"/>
        <v>1413358.2147695615</v>
      </c>
      <c r="AE172" s="35">
        <f t="shared" si="72"/>
        <v>1468361.1833011799</v>
      </c>
      <c r="AF172" s="35">
        <f t="shared" si="72"/>
        <v>1440854.1936906045</v>
      </c>
      <c r="AG172" s="35">
        <f t="shared" si="72"/>
        <v>1468353.9449068722</v>
      </c>
      <c r="AH172" s="35">
        <f t="shared" si="72"/>
        <v>1468350.4159362023</v>
      </c>
      <c r="AI172" s="35">
        <f t="shared" ref="AI172:BA172" si="73">AI170+AI163+AI157+AI149+AI142+AI91+AI84</f>
        <v>1440843.6057817098</v>
      </c>
      <c r="AJ172" s="35">
        <f t="shared" si="73"/>
        <v>1468343.5334631258</v>
      </c>
      <c r="AK172" s="35">
        <f t="shared" si="73"/>
        <v>1413333.4980165183</v>
      </c>
      <c r="AL172" s="35">
        <f t="shared" si="73"/>
        <v>1468336.8784940208</v>
      </c>
      <c r="AM172" s="35">
        <f t="shared" si="73"/>
        <v>1138293.553963565</v>
      </c>
      <c r="AN172" s="35">
        <f t="shared" si="73"/>
        <v>1358317.0835086168</v>
      </c>
      <c r="AO172" s="35">
        <f t="shared" si="73"/>
        <v>1468327.3062279173</v>
      </c>
      <c r="AP172" s="35">
        <f t="shared" si="73"/>
        <v>1413317.5412352299</v>
      </c>
      <c r="AQ172" s="35">
        <f t="shared" si="73"/>
        <v>1468321.1876590871</v>
      </c>
      <c r="AR172" s="35">
        <f t="shared" si="73"/>
        <v>1440814.8646425467</v>
      </c>
      <c r="AS172" s="35">
        <f t="shared" si="73"/>
        <v>1468315.2713429488</v>
      </c>
      <c r="AT172" s="35">
        <f t="shared" si="73"/>
        <v>1468312.3869316773</v>
      </c>
      <c r="AU172" s="35">
        <f t="shared" si="73"/>
        <v>1440806.2105939272</v>
      </c>
      <c r="AV172" s="35">
        <f t="shared" si="73"/>
        <v>1468306.7615284729</v>
      </c>
      <c r="AW172" s="35">
        <f t="shared" si="73"/>
        <v>1413297.3389474428</v>
      </c>
      <c r="AX172" s="35">
        <f t="shared" si="73"/>
        <v>1468301.3220760964</v>
      </c>
      <c r="AY172" s="35">
        <f t="shared" si="73"/>
        <v>1138258.5901526061</v>
      </c>
      <c r="AZ172" s="35">
        <f t="shared" si="73"/>
        <v>1358282.7024278406</v>
      </c>
      <c r="BA172" s="35">
        <f t="shared" si="73"/>
        <v>1468293.4981651541</v>
      </c>
    </row>
    <row r="174" spans="1:53" ht="15.5" x14ac:dyDescent="0.35">
      <c r="A174" s="26" t="s">
        <v>56</v>
      </c>
      <c r="C174" s="47">
        <f t="shared" ref="C174:AH174" si="74">C76-C172</f>
        <v>0</v>
      </c>
      <c r="D174" s="47">
        <f t="shared" si="74"/>
        <v>0</v>
      </c>
      <c r="E174" s="47">
        <f t="shared" si="74"/>
        <v>-617076.24080586073</v>
      </c>
      <c r="F174" s="47">
        <f t="shared" si="74"/>
        <v>-16905.530000001891</v>
      </c>
      <c r="G174" s="47">
        <f t="shared" si="74"/>
        <v>34108.347940741805</v>
      </c>
      <c r="H174" s="47">
        <f t="shared" si="74"/>
        <v>113123.77742879349</v>
      </c>
      <c r="I174" s="47">
        <f t="shared" si="74"/>
        <v>227089.0386582443</v>
      </c>
      <c r="J174" s="47">
        <f t="shared" si="74"/>
        <v>227711.20694527635</v>
      </c>
      <c r="K174" s="47">
        <f t="shared" si="74"/>
        <v>15138.157729522325</v>
      </c>
      <c r="L174" s="47">
        <f t="shared" si="74"/>
        <v>37219.316575415432</v>
      </c>
      <c r="M174" s="47">
        <f t="shared" si="74"/>
        <v>-5049.9958264585584</v>
      </c>
      <c r="N174" s="47">
        <f t="shared" si="74"/>
        <v>70905.778341986006</v>
      </c>
      <c r="O174" s="47">
        <f t="shared" si="74"/>
        <v>-218285.64097231661</v>
      </c>
      <c r="P174" s="47">
        <f t="shared" si="74"/>
        <v>-46029.041692237137</v>
      </c>
      <c r="Q174" s="47">
        <f t="shared" si="74"/>
        <v>40425.760390896117</v>
      </c>
      <c r="R174" s="47">
        <f t="shared" si="74"/>
        <v>83310.071618642891</v>
      </c>
      <c r="S174" s="47">
        <f t="shared" si="74"/>
        <v>132741.25846679695</v>
      </c>
      <c r="T174" s="47">
        <f t="shared" si="74"/>
        <v>219581.07754673227</v>
      </c>
      <c r="U174" s="47">
        <f t="shared" si="74"/>
        <v>354599.13560674782</v>
      </c>
      <c r="V174" s="47">
        <f t="shared" si="74"/>
        <v>355268.22953341319</v>
      </c>
      <c r="W174" s="47">
        <f t="shared" si="74"/>
        <v>111022.48635291541</v>
      </c>
      <c r="X174" s="47">
        <f t="shared" si="74"/>
        <v>136086.86323240562</v>
      </c>
      <c r="Y174" s="47">
        <f t="shared" si="74"/>
        <v>87994.107481343439</v>
      </c>
      <c r="Z174" s="47">
        <f t="shared" si="74"/>
        <v>166680.98655284708</v>
      </c>
      <c r="AA174" s="47">
        <f t="shared" si="74"/>
        <v>-178888.5119549589</v>
      </c>
      <c r="AB174" s="47">
        <f t="shared" si="74"/>
        <v>65676.389702405082</v>
      </c>
      <c r="AC174" s="47">
        <f t="shared" si="74"/>
        <v>139535.90941712377</v>
      </c>
      <c r="AD174" s="47">
        <f t="shared" si="74"/>
        <v>202073.44523043837</v>
      </c>
      <c r="AE174" s="47">
        <f t="shared" si="74"/>
        <v>258479.55669882009</v>
      </c>
      <c r="AF174" s="47">
        <f t="shared" si="74"/>
        <v>316849.10630939552</v>
      </c>
      <c r="AG174" s="47">
        <f t="shared" si="74"/>
        <v>454219.86509312782</v>
      </c>
      <c r="AH174" s="47">
        <f t="shared" si="74"/>
        <v>454223.39406379778</v>
      </c>
      <c r="AI174" s="47">
        <f t="shared" ref="AI174:BA174" si="75">AI76-AI172</f>
        <v>199865.54421829013</v>
      </c>
      <c r="AJ174" s="47">
        <f t="shared" si="75"/>
        <v>227055.92153687426</v>
      </c>
      <c r="AK174" s="47">
        <f t="shared" si="75"/>
        <v>172685.3469834819</v>
      </c>
      <c r="AL174" s="47">
        <f t="shared" si="75"/>
        <v>258503.86150597921</v>
      </c>
      <c r="AM174" s="47">
        <f t="shared" si="75"/>
        <v>-99177.758963565109</v>
      </c>
      <c r="AN174" s="47">
        <f t="shared" si="75"/>
        <v>118321.15149138332</v>
      </c>
      <c r="AO174" s="47">
        <f t="shared" si="75"/>
        <v>227072.14877208276</v>
      </c>
      <c r="AP174" s="47">
        <f t="shared" si="75"/>
        <v>288076.93376476993</v>
      </c>
      <c r="AQ174" s="47">
        <f t="shared" si="75"/>
        <v>318969.55234091287</v>
      </c>
      <c r="AR174" s="47">
        <f t="shared" si="75"/>
        <v>375388.4353574533</v>
      </c>
      <c r="AS174" s="47">
        <f t="shared" si="75"/>
        <v>514708.53865705128</v>
      </c>
      <c r="AT174" s="47">
        <f t="shared" si="75"/>
        <v>514711.42306832271</v>
      </c>
      <c r="AU174" s="47">
        <f t="shared" si="75"/>
        <v>264831.18940607272</v>
      </c>
      <c r="AV174" s="47">
        <f t="shared" si="75"/>
        <v>294185.2184715271</v>
      </c>
      <c r="AW174" s="47">
        <f t="shared" si="75"/>
        <v>229271.50605255738</v>
      </c>
      <c r="AX174" s="47">
        <f t="shared" si="75"/>
        <v>318989.41792390356</v>
      </c>
      <c r="AY174" s="47">
        <f t="shared" si="75"/>
        <v>-62092.795152605977</v>
      </c>
      <c r="AZ174" s="47">
        <f t="shared" si="75"/>
        <v>171005.53257215954</v>
      </c>
      <c r="BA174" s="47">
        <f t="shared" si="75"/>
        <v>287555.95683484594</v>
      </c>
    </row>
  </sheetData>
  <pageMargins left="0.20069444444444445" right="0.20069444444444445" top="0.27569444444444446" bottom="0.20069444444444445" header="0.51180555555555562" footer="0.51180555555555562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26</vt:i4>
      </vt:variant>
      <vt:variant>
        <vt:lpstr>Namngivna områden</vt:lpstr>
      </vt:variant>
      <vt:variant>
        <vt:i4>28</vt:i4>
      </vt:variant>
    </vt:vector>
  </HeadingPairs>
  <TitlesOfParts>
    <vt:vector size="54" baseType="lpstr">
      <vt:lpstr>The Project</vt:lpstr>
      <vt:lpstr>P_L Summary</vt:lpstr>
      <vt:lpstr>P_L 2005_06</vt:lpstr>
      <vt:lpstr>P_L 2006_07</vt:lpstr>
      <vt:lpstr>P_L 2007_08</vt:lpstr>
      <vt:lpstr>P_L 2008_09</vt:lpstr>
      <vt:lpstr>P_L 2009_10</vt:lpstr>
      <vt:lpstr>P_L</vt:lpstr>
      <vt:lpstr>P_L Workings</vt:lpstr>
      <vt:lpstr>P_L Standard</vt:lpstr>
      <vt:lpstr>P_L Variables</vt:lpstr>
      <vt:lpstr>Cashflow 2005_06</vt:lpstr>
      <vt:lpstr>Cashflow 2006_07</vt:lpstr>
      <vt:lpstr>Cashflow 2007_08</vt:lpstr>
      <vt:lpstr>Cashflow 2008_09</vt:lpstr>
      <vt:lpstr>Cashflow 2009_10</vt:lpstr>
      <vt:lpstr>Cashflow Workings</vt:lpstr>
      <vt:lpstr>Bal Sheet Summary</vt:lpstr>
      <vt:lpstr>Bal Sheet 2005_06</vt:lpstr>
      <vt:lpstr>Bal Sheet 2006_07</vt:lpstr>
      <vt:lpstr>Bal Sheet 2007_08</vt:lpstr>
      <vt:lpstr>Bal Sheet 2008_09</vt:lpstr>
      <vt:lpstr>Bal Sheet 2009_10</vt:lpstr>
      <vt:lpstr>Bal Sheet Workings</vt:lpstr>
      <vt:lpstr>Loan _Int_</vt:lpstr>
      <vt:lpstr>Loan _Int_ _2_</vt:lpstr>
      <vt:lpstr>'Bal Sheet Workings'!Utskriftsområde</vt:lpstr>
      <vt:lpstr>'Cashflow Workings'!Utskriftsområde</vt:lpstr>
      <vt:lpstr>'Loan _Int_'!Utskriftsområde</vt:lpstr>
      <vt:lpstr>'Loan _Int_ _2_'!Utskriftsområde</vt:lpstr>
      <vt:lpstr>'Loan _Int_'!Utskriftsrubriker</vt:lpstr>
      <vt:lpstr>'Loan _Int_ _2_'!Utskriftsrubriker</vt:lpstr>
      <vt:lpstr>zClient_Name_27</vt:lpstr>
      <vt:lpstr>zClient_Name_28</vt:lpstr>
      <vt:lpstr>zClient_Ref_27</vt:lpstr>
      <vt:lpstr>zClient_Ref_28</vt:lpstr>
      <vt:lpstr>zEnd_Date_27</vt:lpstr>
      <vt:lpstr>zEnd_Date_28</vt:lpstr>
      <vt:lpstr>zPmt_No_27</vt:lpstr>
      <vt:lpstr>zPmt_No_28</vt:lpstr>
      <vt:lpstr>zPrepared_By_27</vt:lpstr>
      <vt:lpstr>zPrepared_By_28</vt:lpstr>
      <vt:lpstr>zReviewed_by_27</vt:lpstr>
      <vt:lpstr>zReviewed_by_28</vt:lpstr>
      <vt:lpstr>zReviewed_Label_27</vt:lpstr>
      <vt:lpstr>zReviewed_Label_28</vt:lpstr>
      <vt:lpstr>zSch_Ref_27</vt:lpstr>
      <vt:lpstr>zSch_Ref_28</vt:lpstr>
      <vt:lpstr>zStart_Date_27</vt:lpstr>
      <vt:lpstr>zStart_Date_28</vt:lpstr>
      <vt:lpstr>zSubject_27</vt:lpstr>
      <vt:lpstr>zSubject_28</vt:lpstr>
      <vt:lpstr>zTotal_Payments_27</vt:lpstr>
      <vt:lpstr>zTotal_Payments_28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Ponting</dc:creator>
  <cp:keywords/>
  <dc:description/>
  <cp:lastModifiedBy>Per Öberg</cp:lastModifiedBy>
  <cp:revision>1</cp:revision>
  <cp:lastPrinted>2006-02-10T11:18:39Z</cp:lastPrinted>
  <dcterms:created xsi:type="dcterms:W3CDTF">2005-12-21T17:12:43Z</dcterms:created>
  <dcterms:modified xsi:type="dcterms:W3CDTF">2020-07-22T13:41:18Z</dcterms:modified>
</cp:coreProperties>
</file>